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9060" windowHeight="5340" activeTab="3"/>
  </bookViews>
  <sheets>
    <sheet name="PL 1" sheetId="1" r:id="rId1"/>
    <sheet name="PL 2" sheetId="2" r:id="rId2"/>
    <sheet name="PL 3" sheetId="3" r:id="rId3"/>
    <sheet name="PL 4" sheetId="4" r:id="rId4"/>
  </sheets>
  <externalReferences>
    <externalReference r:id="rId7"/>
    <externalReference r:id="rId8"/>
    <externalReference r:id="rId9"/>
    <externalReference r:id="rId10"/>
  </externalReferences>
  <definedNames>
    <definedName name="_Fill" hidden="1">#REF!</definedName>
    <definedName name="BANG">'[1]Sheet1'!#REF!</definedName>
    <definedName name="Cot_thep">'[3]Du_lieu'!$C$19</definedName>
    <definedName name="duaån">#REF!</definedName>
    <definedName name="duan">#REF!</definedName>
    <definedName name="HSNC">'[3]Du_lieu'!$C$6</definedName>
    <definedName name="HT">#REF!</definedName>
    <definedName name="_xlnm.Print_Titles" localSheetId="0">'PL 1'!$6:$10</definedName>
    <definedName name="_xlnm.Print_Titles" localSheetId="1">'PL 2'!$7:$12</definedName>
    <definedName name="_xlnm.Print_Titles" localSheetId="2">'PL 3'!$6:$9</definedName>
    <definedName name="_xlnm.Print_Titles" localSheetId="3">'PL 4'!$8:$12</definedName>
    <definedName name="TBA">#REF!</definedName>
    <definedName name="ThanhXuan110">'[2]KH-Q1,Q2,01'!#REF!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<sst xmlns="http://schemas.openxmlformats.org/spreadsheetml/2006/main" count="403" uniqueCount="344">
  <si>
    <t>Đơn vị tính: triệu đồng.</t>
  </si>
  <si>
    <t>Nội dung</t>
  </si>
  <si>
    <t>Trong đó</t>
  </si>
  <si>
    <t>Khối tỉnh</t>
  </si>
  <si>
    <t>Khối huyện</t>
  </si>
  <si>
    <t>Đồng Xoài</t>
  </si>
  <si>
    <t>Đồng Phú</t>
  </si>
  <si>
    <t>Phước Long</t>
  </si>
  <si>
    <t>Lộc Ninh</t>
  </si>
  <si>
    <t>Bù Đốp</t>
  </si>
  <si>
    <t>Bù Đăng</t>
  </si>
  <si>
    <t>Bình Long</t>
  </si>
  <si>
    <t>Chơn Thành</t>
  </si>
  <si>
    <t>2=3+4</t>
  </si>
  <si>
    <t>4=5-&gt;12</t>
  </si>
  <si>
    <t>Tổng thu NSNN trên địa bàn</t>
  </si>
  <si>
    <t>A. Tổng các khoản thu cân đối NSNN</t>
  </si>
  <si>
    <t>I. Thu từ sản xuất kinh doanh trong nước</t>
  </si>
  <si>
    <t xml:space="preserve">1. Thu từ doanh nghiệp Nhà nước Trung ương </t>
  </si>
  <si>
    <t>- Thuế giá trị gia tăng</t>
  </si>
  <si>
    <t>- Thuế thu nhập doanh nghiệp</t>
  </si>
  <si>
    <t>- Thuế TTĐB hàng hoá, dịch vụ trong nước</t>
  </si>
  <si>
    <t>- Thuế tài nguyên</t>
  </si>
  <si>
    <t>- Thuế môn bài</t>
  </si>
  <si>
    <t xml:space="preserve">2. Thu từ doanh nghiệp Nhà nước địa phương </t>
  </si>
  <si>
    <t>3. Thu từ doanh nghiệp có vốn đầu tư nước ngoài</t>
  </si>
  <si>
    <t>- Tiền thuê mặt đất, mặt nước</t>
  </si>
  <si>
    <t>- Các khoản thu khác</t>
  </si>
  <si>
    <t>- Thu khác ngoài quốc doanh</t>
  </si>
  <si>
    <t>5. Lệ phí trước bạ</t>
  </si>
  <si>
    <t>6. Thuế sử dụng đất nông nghiệp</t>
  </si>
  <si>
    <t>8. Thuế thu nhập cá nhân</t>
  </si>
  <si>
    <t xml:space="preserve">- Phí và lệ phí Trung ương </t>
  </si>
  <si>
    <t>- Phí và lệ phí địa phương</t>
  </si>
  <si>
    <t>Tr.đó: + Thuế XK, NK, TTĐB</t>
  </si>
  <si>
    <t xml:space="preserve">           + Thuế VAT hàng nhập khẩu</t>
  </si>
  <si>
    <t>III. Thu viện trợ</t>
  </si>
  <si>
    <t>IV. Thu huy động đầu tư xây dựng cơ sở hạ tầng theo khoản 3 điều 8 Luật ngân sách Nhà nước</t>
  </si>
  <si>
    <t>B. Các khoản thu được để lại chi quản lý qua NSNN</t>
  </si>
  <si>
    <t>Tổng thu NSĐP</t>
  </si>
  <si>
    <t xml:space="preserve"> - Thu ngân sách địa phương được hưởng</t>
  </si>
  <si>
    <t>- Thu bổ sung từ ngân sách cấp trên</t>
  </si>
  <si>
    <t>- Thu hồi vốn và thu khác</t>
  </si>
  <si>
    <t>- Các khoản huy động đóng góp</t>
  </si>
  <si>
    <t>A. Chi cân đối NSĐP</t>
  </si>
  <si>
    <t>I. Chi đầu tư phát triển</t>
  </si>
  <si>
    <t>1. Chi xây dựng cơ bản tập trung</t>
  </si>
  <si>
    <t>a. Vốn trong nước</t>
  </si>
  <si>
    <t>- Từ hỗ trợ có mục tiêu của NS cấp trên</t>
  </si>
  <si>
    <t>- Từ nguồn thu tiền sử dụng đất</t>
  </si>
  <si>
    <t>b. Vốn ngoài nước</t>
  </si>
  <si>
    <t>3. Chi đầu tư và hỗ trợ các doanh nghiệp theo chế độ</t>
  </si>
  <si>
    <t>II. Chi thường xuyên</t>
  </si>
  <si>
    <t>1. Chi trợ giá các mặt hàng chính sách</t>
  </si>
  <si>
    <t>2. Chi sự nghiệp kinh tế</t>
  </si>
  <si>
    <t>- Chi sự nghiệp nông-lâm-thuỷ lợi</t>
  </si>
  <si>
    <t>- Chi sự nghiệp giao thông</t>
  </si>
  <si>
    <t>3. Chi sự nghiệp giáo dục, đào tạo và dạy nghề</t>
  </si>
  <si>
    <t>- Chi sự nghiệp giáo dục</t>
  </si>
  <si>
    <t>- Chi sự nghiệp đào tạo và dạy nghề</t>
  </si>
  <si>
    <t>4. Chi sự nghiệp y tế</t>
  </si>
  <si>
    <t>7. Chi sự nghiệp phát thanh truyền hình</t>
  </si>
  <si>
    <t>- Chi giữ gìn an ninh và trật tự an toàn XH</t>
  </si>
  <si>
    <t>- Chi quốc phòng địa phương</t>
  </si>
  <si>
    <t>B. Các khoản chi được quản lý qua NSNN</t>
  </si>
  <si>
    <t>Tổng chi NSĐP</t>
  </si>
  <si>
    <t>5. Chi sự nghiệp khoa học và công nghệ</t>
  </si>
  <si>
    <t>B. Các khoản thu quản lý qua NSNN</t>
  </si>
  <si>
    <t>- Thu từ sổ số kiến thiết</t>
  </si>
  <si>
    <t>- Học phí</t>
  </si>
  <si>
    <t>- Viện phí</t>
  </si>
  <si>
    <t>- Thu phí lệ phí</t>
  </si>
  <si>
    <t>- Thu khác</t>
  </si>
  <si>
    <t>Hớn Quản</t>
  </si>
  <si>
    <t>Bù Gia Mập</t>
  </si>
  <si>
    <t>4=5-&gt;14</t>
  </si>
  <si>
    <t>8. Chi đảm bảo xã hội</t>
  </si>
  <si>
    <t>9. Chi quản lý hành chính</t>
  </si>
  <si>
    <t>10. Chi an ninh quốc phòng địa phương</t>
  </si>
  <si>
    <t>11. Chi khác ngân sách</t>
  </si>
  <si>
    <t>4. Thu từ khu vực công thg nghiệp-ngoài quốc doanh</t>
  </si>
  <si>
    <t>10. Thu phí và lệ phí</t>
  </si>
  <si>
    <t>11. Thuế chuyển quyền sử dụng đất</t>
  </si>
  <si>
    <t>12. Tiền sử dụng đất</t>
  </si>
  <si>
    <t>13. Thu tiền cho thuê mặt đất, mặt nước</t>
  </si>
  <si>
    <t xml:space="preserve">14. Thu khác </t>
  </si>
  <si>
    <t>- Chi SN môi trường</t>
  </si>
  <si>
    <t>- Chi đo đạc lập cơ sở dữ liệu từ nguồn TSD đất</t>
  </si>
  <si>
    <t>- Chi sự nghiệp kinh tế khác</t>
  </si>
  <si>
    <t xml:space="preserve">      + Tr.đó: Chi KCB trẻ em dưới 6 tuổi</t>
  </si>
  <si>
    <t xml:space="preserve"> + Bổ sung cân đối</t>
  </si>
  <si>
    <t xml:space="preserve"> + BS vốn XDCB theo phân cấp</t>
  </si>
  <si>
    <t xml:space="preserve"> + Bổ sung có mục tiêu XDCB</t>
  </si>
  <si>
    <t>II. Thuế xuất, nhập khẩu do Hải quan thu</t>
  </si>
  <si>
    <t>XI. Dự phòng</t>
  </si>
  <si>
    <t>- Vốn cân đối từ nguồn thu SXKT</t>
  </si>
  <si>
    <t>DỰ TOÁN CHI NGÂN SÁCH ĐỊA PHƯƠNG NĂM 2012</t>
  </si>
  <si>
    <t xml:space="preserve"> + Bổ sung có mục tiêu khác</t>
  </si>
  <si>
    <t>- Dự phòng chi tăng lưong theo chế độ mới SNGD-ĐT</t>
  </si>
  <si>
    <t>15. Thu khác tại xã</t>
  </si>
  <si>
    <t>Tr.đó: + Các khoản thu phân chia theo tỷ lệ (%)</t>
  </si>
  <si>
    <t xml:space="preserve">           + Thu huyện hưởng 100%</t>
  </si>
  <si>
    <t>- Vốn cân đối theo phân cấp</t>
  </si>
  <si>
    <t>- Từ kết dư 2011 chuyển sang</t>
  </si>
  <si>
    <t xml:space="preserve"> - Vốn vay KKH kênh mương</t>
  </si>
  <si>
    <t xml:space="preserve"> - Vốn TPCP</t>
  </si>
  <si>
    <t>TOÀN TỈNH ( Điều chỉnh)</t>
  </si>
  <si>
    <t>Dự toán  năm</t>
  </si>
  <si>
    <t>- Thu vay KCH kênh mương</t>
  </si>
  <si>
    <t>- Thu từ nguồn TPCP</t>
  </si>
  <si>
    <t>- Thu kết dư 2011</t>
  </si>
  <si>
    <t xml:space="preserve"> + Bổ sung vốn CTMT</t>
  </si>
  <si>
    <t>9. Thuế bảo vệ môi trường</t>
  </si>
  <si>
    <t>Dự toán năm</t>
  </si>
  <si>
    <t>7. Thuế SD đất phi nông nghiệp</t>
  </si>
  <si>
    <t>- Thu chuyển nguồn 2011</t>
  </si>
  <si>
    <t xml:space="preserve"> + Bổ sung nguồn làm lương</t>
  </si>
  <si>
    <t xml:space="preserve">VIII. Chi nguồn làm lương mới </t>
  </si>
  <si>
    <t>- Tạm ứng vốn nhàn rỗi KB</t>
  </si>
  <si>
    <t xml:space="preserve"> - Vốn nhàn rỗi Kho bạc</t>
  </si>
  <si>
    <t>6. Chi sự nghiệp văn hoá du lịch và thể thao</t>
  </si>
  <si>
    <t>SỐ BỔ SUNG TỪ NGÂN SÁCH CẤP TỈNH</t>
  </si>
  <si>
    <t>CHO NGÂN SÁCH CÁC HUYỆN, THỊ THUỘC TỈNH</t>
  </si>
  <si>
    <t>NĂM 2012 (điều chỉnh)</t>
  </si>
  <si>
    <t>STT</t>
  </si>
  <si>
    <t>Huyện thị thuộc tỉnh</t>
  </si>
  <si>
    <t>Tổng số</t>
  </si>
  <si>
    <t>Bổ sung cân đối</t>
  </si>
  <si>
    <t>Bổ sung có mục tiêu</t>
  </si>
  <si>
    <t xml:space="preserve">Bổ sung chi tăng lương </t>
  </si>
  <si>
    <t>XDCB</t>
  </si>
  <si>
    <t>Bổ sung có MT khác</t>
  </si>
  <si>
    <t>3=4+5+6+7</t>
  </si>
  <si>
    <t>Thị xã Đồng Xoài</t>
  </si>
  <si>
    <t>Huyện Bình Long</t>
  </si>
  <si>
    <t>Huyện Phước Long</t>
  </si>
  <si>
    <t>Huyện Đồng Phú</t>
  </si>
  <si>
    <t>Huyện Lộc Ninh</t>
  </si>
  <si>
    <t>Huyện Bù Đốp</t>
  </si>
  <si>
    <t>Huyện Bù Đăng</t>
  </si>
  <si>
    <t>Huyện Chơn Thành</t>
  </si>
  <si>
    <t>Huyện Hớn Quản</t>
  </si>
  <si>
    <t>Huyện Bù Gia Mập</t>
  </si>
  <si>
    <t>Tên đơn vị</t>
  </si>
  <si>
    <t>Biên chế</t>
  </si>
  <si>
    <t>Bao gồm</t>
  </si>
  <si>
    <t>Mức độ tự chủ %</t>
  </si>
  <si>
    <t>Dự toán  cấp năm 2012</t>
  </si>
  <si>
    <t>Phụ cấp ưu đãi, tăng lương</t>
  </si>
  <si>
    <t>10% tiết kiệm tăng lương</t>
  </si>
  <si>
    <t>Trong khoán</t>
  </si>
  <si>
    <t>Ngoài khoán</t>
  </si>
  <si>
    <t>Tổng cộng</t>
  </si>
  <si>
    <t>I</t>
  </si>
  <si>
    <t>Chi trợ giá, trợ cước</t>
  </si>
  <si>
    <t>Trung tâm Phát hành phim&amp;Chiếu bóng</t>
  </si>
  <si>
    <t>Báo Bình Phước</t>
  </si>
  <si>
    <t>II</t>
  </si>
  <si>
    <t>Chi sự nghiệp kinh tế</t>
  </si>
  <si>
    <t>II.1</t>
  </si>
  <si>
    <t>Sự nghiệp lâm nghiệp</t>
  </si>
  <si>
    <t>Chi cục Kiểm Lâm</t>
  </si>
  <si>
    <t>Chi cục  Lâm nghiệp</t>
  </si>
  <si>
    <t>II.2</t>
  </si>
  <si>
    <t>Sự nghiệp nông nghiệp-thuỷ lợi</t>
  </si>
  <si>
    <t>Sở Nông nghiệp vàPhát triển nông thôn</t>
  </si>
  <si>
    <t>Chi cục Thú y</t>
  </si>
  <si>
    <t>Chi cục Bảo vệ thực vật</t>
  </si>
  <si>
    <t>Trung tâm Khuyến nông, khuyến ngư</t>
  </si>
  <si>
    <t>Chi cục Phát triển nông thôn</t>
  </si>
  <si>
    <t>Trung tâm giống nông lâm nghiệp</t>
  </si>
  <si>
    <t>Trung tâm điều tra quy hoạch PTNNNT</t>
  </si>
  <si>
    <t>Chi cục thủy lợi phòng chống lụt bão</t>
  </si>
  <si>
    <t>Trung tâm thủy sản</t>
  </si>
  <si>
    <t>Chi cục quản lý chất lượng nông lâm thủy sản</t>
  </si>
  <si>
    <t>Văn phòng điều phối CTMT QG xây dựng nông thôn mới</t>
  </si>
  <si>
    <t>II.3</t>
  </si>
  <si>
    <t>Sự nghiệp giao thông</t>
  </si>
  <si>
    <t>Ban Thanh tra giao thông</t>
  </si>
  <si>
    <t>Khu quản lý bảo trì đường bộ</t>
  </si>
  <si>
    <t>II.4</t>
  </si>
  <si>
    <t xml:space="preserve">Chi sự nghiệp tài nguyên </t>
  </si>
  <si>
    <t>Trung tâm phát triển qũy đất</t>
  </si>
  <si>
    <t>Văn phòng đăng ký quyền sử dụng đất</t>
  </si>
  <si>
    <t>Trung tâm công nghệ thông tin môi trường</t>
  </si>
  <si>
    <t>Sở Tài nguyên môi trường</t>
  </si>
  <si>
    <t>Sự nghiệp kinh tế khác</t>
  </si>
  <si>
    <t>Trung tâm CNTT và truyền thông</t>
  </si>
  <si>
    <t>Trung tâm quy hoạch và kiểm định xây dựng</t>
  </si>
  <si>
    <t>Thanh Tra xây dựng</t>
  </si>
  <si>
    <t>Trung tâm xúc tiến đầu tư, thương mại du lịch</t>
  </si>
  <si>
    <t>Trung tâm Khuyến công, TVPTCN</t>
  </si>
  <si>
    <t>Trung tâm bán đấu giá</t>
  </si>
  <si>
    <t>Phòng công chứng số 1</t>
  </si>
  <si>
    <t>Trung tâm trợ giúp pháp lý</t>
  </si>
  <si>
    <t>Qũy phát triển đất</t>
  </si>
  <si>
    <t>Trung tâm khai thác hạ tầng khu công nghiệp</t>
  </si>
  <si>
    <t>Công nghệ thông tin khác</t>
  </si>
  <si>
    <t>Các hoạt động thanh tra, tuyên truyền phổ biến pháp luật, các ngày lễ lớn và SN khác</t>
  </si>
  <si>
    <t>Kinh phí lưu trử tài liệu các Sở, ngành</t>
  </si>
  <si>
    <t>Kinh phí quy hoạch các ngành</t>
  </si>
  <si>
    <t>III</t>
  </si>
  <si>
    <t>Sự nghiệp môi trường</t>
  </si>
  <si>
    <t>Chi cục bảo vệ môi trường</t>
  </si>
  <si>
    <t>Vườn Quốc Gia Bù Gia Mập</t>
  </si>
  <si>
    <t>Chi sự nghiệp môi trường</t>
  </si>
  <si>
    <t>IV</t>
  </si>
  <si>
    <t>Chi sự nghiệp Giáo dục - Đào tạo</t>
  </si>
  <si>
    <t>IV.1</t>
  </si>
  <si>
    <t>Sự nghiệp Giáo dục</t>
  </si>
  <si>
    <t>Sở Giáo dục đào tạo</t>
  </si>
  <si>
    <t>Trường dân tộc nội trú tỉnh</t>
  </si>
  <si>
    <t>Trường chuyên Quang Trung</t>
  </si>
  <si>
    <t>IV.2</t>
  </si>
  <si>
    <t>Sự nghiệp Đào tạo</t>
  </si>
  <si>
    <t>Trường Cao đẳng sư phạm</t>
  </si>
  <si>
    <t>Trường Trung học y tế</t>
  </si>
  <si>
    <t>Trường Chính trị</t>
  </si>
  <si>
    <t>Trường Trung cấp nghề Tôn Đức Thắng</t>
  </si>
  <si>
    <t>Đào tạo khác</t>
  </si>
  <si>
    <t>V</t>
  </si>
  <si>
    <t>Sự nghiệp Y tế</t>
  </si>
  <si>
    <t>Sở Y tế và các đơn vị trực thuộc</t>
  </si>
  <si>
    <t>Bệnh viện Y học cổ truyền</t>
  </si>
  <si>
    <t>Bệnh viện tỉnh</t>
  </si>
  <si>
    <t>Quỹ khám chữa bệnh cho người nghèo</t>
  </si>
  <si>
    <t>Sự nghiệp DS kế hoạch hóa GĐ, trẻ em</t>
  </si>
  <si>
    <t>VI</t>
  </si>
  <si>
    <t>Sự nghiệp Khoa học và công nghệ</t>
  </si>
  <si>
    <t>Sở Khoa học và Công nghệ</t>
  </si>
  <si>
    <t>Trung tâm ứng dụng tiến bộ khoa học và CN</t>
  </si>
  <si>
    <t>Chi cục tiêu chuẩn ĐL-CL</t>
  </si>
  <si>
    <t>Trung tâm kỹ thuật TCĐLCL</t>
  </si>
  <si>
    <t>VII</t>
  </si>
  <si>
    <t>Sự nghiệp Văn hoá  Du lịch Thể Thao</t>
  </si>
  <si>
    <t>Sự nghiệp văn hoá - TT - DL</t>
  </si>
  <si>
    <t>Thư viện</t>
  </si>
  <si>
    <t>Trung tâm Văn hoá thông tin</t>
  </si>
  <si>
    <t>Bảo tàng</t>
  </si>
  <si>
    <t>Trung tâm phát hành phim và chiếu bóng</t>
  </si>
  <si>
    <t>Đoàn ca múa nhạc tổng hợp</t>
  </si>
  <si>
    <t>Trung tâm Thể dục thể thao</t>
  </si>
  <si>
    <t>Ban quản lý di tích</t>
  </si>
  <si>
    <t>VIII</t>
  </si>
  <si>
    <t>Sự nghiệp Phát thanh truyền hình</t>
  </si>
  <si>
    <t>Đài Phát thanh Truyền hình</t>
  </si>
  <si>
    <t>IX</t>
  </si>
  <si>
    <t>Đảm bảo xã hội</t>
  </si>
  <si>
    <t>Trung tâm chữa bệnh GD- LĐ - XH</t>
  </si>
  <si>
    <t>Trung tâm giới thiệu việc làm</t>
  </si>
  <si>
    <t>Trung tâm Nuôi dưỡng người già-trẻ mồ côi</t>
  </si>
  <si>
    <t>Chi tiền Tết và ngày 27/7 cho đối tượng CS</t>
  </si>
  <si>
    <t>Mai táng phí cho đối tượng cụu chiến binh</t>
  </si>
  <si>
    <t>Đón hài cốt liệt sỹ, đám tang</t>
  </si>
  <si>
    <t>Chi sự nghiệp chăm sóc trẻ em</t>
  </si>
  <si>
    <t>Ban quản lý nghĩa trang</t>
  </si>
  <si>
    <t>Kinh phí phòng chống mại dâm, ma tuý</t>
  </si>
  <si>
    <t>Kinh phí thực hiện NĐ 67</t>
  </si>
  <si>
    <t>Kinh phí định canh định cư theo QĐ 193</t>
  </si>
  <si>
    <t>Kinh phí theo QĐ 1342 QĐ-TTg</t>
  </si>
  <si>
    <t>Kinh phí trợ giá cho người nghèo</t>
  </si>
  <si>
    <t>Quyết định 167</t>
  </si>
  <si>
    <t>X</t>
  </si>
  <si>
    <t>Quản lý hành chính</t>
  </si>
  <si>
    <t>X.1</t>
  </si>
  <si>
    <t>Quản lý Nhà nước</t>
  </si>
  <si>
    <t>Ban Dân tộc</t>
  </si>
  <si>
    <t>Chi cục Quản lý thị trường</t>
  </si>
  <si>
    <t>Hội đồng Liên minh các HTX</t>
  </si>
  <si>
    <t>Sở Thông tin Truyền thông</t>
  </si>
  <si>
    <t>Sở Công Thương</t>
  </si>
  <si>
    <t>Sở Giao thông vận tải</t>
  </si>
  <si>
    <t>Sở Kế hoạch và Đầu tư</t>
  </si>
  <si>
    <t>Sở Lao động-TBXH</t>
  </si>
  <si>
    <t>Sở Nội vụ</t>
  </si>
  <si>
    <t>Sở Nông nghiệp-Phát triển nông thôn</t>
  </si>
  <si>
    <t>Sở Tài chính</t>
  </si>
  <si>
    <t>Sở Tài nguyên và Môi trường</t>
  </si>
  <si>
    <t>Sở Tư pháp</t>
  </si>
  <si>
    <t>Sở Xây dựng</t>
  </si>
  <si>
    <t>Sở Y tế</t>
  </si>
  <si>
    <t>Thanh tra Nhà nước</t>
  </si>
  <si>
    <t>Sở Văn Hóa thể thao - Du lịch</t>
  </si>
  <si>
    <t xml:space="preserve">Văn phòng Hội đồng nhân dân </t>
  </si>
  <si>
    <t xml:space="preserve">Văn phòng Uỷ ban nhân dân </t>
  </si>
  <si>
    <t>BCĐ phòng chống tham nhũng</t>
  </si>
  <si>
    <t>Ban Quản lý Khu kinh tế CKHL</t>
  </si>
  <si>
    <t>Sở Ngoại vụ</t>
  </si>
  <si>
    <t>Chi quản lý chương trình mục tiêu</t>
  </si>
  <si>
    <t>X.2</t>
  </si>
  <si>
    <t>Hỗ trợ ngân sách Đảng</t>
  </si>
  <si>
    <t>X.3</t>
  </si>
  <si>
    <t>Kinh phí các hội, đoàn thể</t>
  </si>
  <si>
    <t>Hội Cựu chiến binh</t>
  </si>
  <si>
    <t>Hội Liên hiệp phụ nữ</t>
  </si>
  <si>
    <t>Hội Nông dân</t>
  </si>
  <si>
    <t>Trung tâm dạy nghề và hỗ trợ nông dân</t>
  </si>
  <si>
    <t>Uỷ ban Mặt trận Tổ quốc tỉnh</t>
  </si>
  <si>
    <t>Tỉnh đoàn</t>
  </si>
  <si>
    <t>Trung tâm hỗ trợ thanh niên công nhân</t>
  </si>
  <si>
    <t>Trung tâm hoạt động thanh thiếu niên</t>
  </si>
  <si>
    <t>X.4</t>
  </si>
  <si>
    <t>Hỗ trợ các tổ chức xã hội</t>
  </si>
  <si>
    <t>Hội Chữ thập đỏ</t>
  </si>
  <si>
    <t>Hội Người mù</t>
  </si>
  <si>
    <t>Hội Đông Y</t>
  </si>
  <si>
    <t>Hội Khuyến học</t>
  </si>
  <si>
    <t>Liên hiệp các Hội KH &amp; KT</t>
  </si>
  <si>
    <t>Hội Kế hoạch hoá gia đình</t>
  </si>
  <si>
    <t>Hội Luật gia</t>
  </si>
  <si>
    <t>Hội Nhà báo</t>
  </si>
  <si>
    <t>Hội nạn nhân chất độc màu da cam</t>
  </si>
  <si>
    <t>Hội Cựu thanh niên xung phong</t>
  </si>
  <si>
    <t>Ban vì sự tiến bộ phụ nữ</t>
  </si>
  <si>
    <t>Hội Văn học nghệ thuật</t>
  </si>
  <si>
    <t>Hội Người cao tuổi</t>
  </si>
  <si>
    <t>Hội Bảo trợ NTT-TWC-BNN</t>
  </si>
  <si>
    <t>Hội Doanh nghiệp trẻ</t>
  </si>
  <si>
    <t>Hội điều</t>
  </si>
  <si>
    <t>Hội Thầy thuốc trẻ</t>
  </si>
  <si>
    <t>Hội doanh nghiệp vừa và nhỏ</t>
  </si>
  <si>
    <t>XI</t>
  </si>
  <si>
    <t>Chi an ninh-quốc phòng địa phương</t>
  </si>
  <si>
    <t>Tỉnh đội</t>
  </si>
  <si>
    <t>Bộ đội biên phòng</t>
  </si>
  <si>
    <t>Công an tỉnh</t>
  </si>
  <si>
    <t>XII</t>
  </si>
  <si>
    <t>Chi khác ngân sách</t>
  </si>
  <si>
    <t>HỘI ĐỒNG NHÂN DÂN TỈNH BÌNH PHƯỚC</t>
  </si>
  <si>
    <t>DỰ TOÁN THU NGÂN SÁCH NHÀ NƯỚC NĂM 2012</t>
  </si>
  <si>
    <t>TOÀN TỈNH (điều chỉnh)</t>
  </si>
  <si>
    <t>III. Chi Chương trình mục tiêu vốn sự nghiệp</t>
  </si>
  <si>
    <t>IV. Chi trả nợ lãi vay đầu tư XD CSHT theo khoản 3 điều 8 Luật NSNN</t>
  </si>
  <si>
    <t>V. Chi trích lập quỹ phát triển đất</t>
  </si>
  <si>
    <t>VI. Chi lập hoặc bổ sung quỹ dự trữ tài chính</t>
  </si>
  <si>
    <t>IX. Chi chuyển nguồn năm 2011 chuyển sang</t>
  </si>
  <si>
    <t>VII. Chi hoàn trả tạm ứng ngân sách TW</t>
  </si>
  <si>
    <t>VII. Chi chương trình mục tiêu</t>
  </si>
  <si>
    <t>(Kèm theo Nghị quyết số 01/2012/NQ-HĐND ngày 06 tháng 8 năm 2012 của HĐND tỉnh)</t>
  </si>
  <si>
    <t>TỔNG HỢP DỰ TOÁN CHI NGÂN SÁCH NHÀ NƯỚC  NĂM 2012 KHỐI TỈNH
(điều chỉnh)</t>
  </si>
  <si>
    <r>
      <t xml:space="preserve">Số tiền bằng chữ:  Tám trăm bảy mươi ba tỷ tám trăm hai mươi triệu đồng </t>
    </r>
    <r>
      <rPr>
        <sz val="12"/>
        <rFont val="Times New Roman"/>
        <family val="1"/>
      </rPr>
      <t>./.</t>
    </r>
  </si>
  <si>
    <t>- Nguồn tăng lương 2011 chuyển sang</t>
  </si>
  <si>
    <t xml:space="preserve">                                          
                                          Đơn vị tính: triệu đồng.</t>
  </si>
  <si>
    <t xml:space="preserve">                   Đơn vị tính: triệu đồng.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</si>
</sst>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_(* #,##0_);_(* \(#,##0\);_(* &quot;-&quot;??_);_(@_)"/>
    <numFmt numFmtId="182" formatCode="[$-42A]dd\ mmmm\ yyyy"/>
    <numFmt numFmtId="183" formatCode="[$-42A]h:mm:ss\ AM/PM"/>
    <numFmt numFmtId="184" formatCode="[&lt;=9999999][$-1000000]###\-####;[$-1000000]\(#\)\ ###\-####"/>
    <numFmt numFmtId="185" formatCode="_(* #,##0_);_(* \(#,##0\);_(* &quot;&quot;_);_(@_)"/>
    <numFmt numFmtId="186" formatCode="0.000"/>
    <numFmt numFmtId="187" formatCode="_-* #,##0_-;\-* #,##0_-;_-* &quot;-&quot;??_-;_-@_-"/>
    <numFmt numFmtId="188" formatCode="#,##0.000000"/>
    <numFmt numFmtId="189" formatCode="0.0000"/>
    <numFmt numFmtId="190" formatCode="_(* #,##0.000_);_(* \(#,##0.000\);_(* &quot;-&quot;??_);_(@_)"/>
    <numFmt numFmtId="191" formatCode="#,##0.0"/>
    <numFmt numFmtId="192" formatCode="0.0"/>
    <numFmt numFmtId="193" formatCode="#,###;[Red]\-#,###"/>
    <numFmt numFmtId="194" formatCode="_ * #,##0_ ;_ * \-#,##0_ ;_ * &quot;-&quot;??_ ;_ @_ "/>
    <numFmt numFmtId="195" formatCode="#,##0.0000"/>
    <numFmt numFmtId="196" formatCode="_(* #,##0.0_);_(* \(#,##0.0\);_(* &quot;-&quot;??_);_(@_)"/>
    <numFmt numFmtId="197" formatCode="#,##0;[Red]#,##0"/>
    <numFmt numFmtId="198" formatCode="#,##0.0;[Red]#,##0.0"/>
    <numFmt numFmtId="199" formatCode="\-"/>
    <numFmt numFmtId="200" formatCode="_(* #,##0.000_);_(* \(#,##0.000\);_(* &quot;-&quot;???_);_(@_)"/>
    <numFmt numFmtId="201" formatCode="###,###"/>
    <numFmt numFmtId="202" formatCode="###,###,###"/>
    <numFmt numFmtId="203" formatCode="#,##0;[Red]\-#,##0;&quot;&quot;;_-@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0000"/>
    <numFmt numFmtId="213" formatCode="0.000000000"/>
    <numFmt numFmtId="214" formatCode="_(* #,##0.000000_);_(* \(#,##0.000000\);_(* &quot;-&quot;_);_(@_)"/>
    <numFmt numFmtId="215" formatCode="0.00_)"/>
    <numFmt numFmtId="216" formatCode="&quot;Ngaøy  &quot;dd\ \ &quot;  thaùng  &quot;mm&quot;  naêm  &quot;yyyy"/>
    <numFmt numFmtId="217" formatCode="_(* #,##0.0000_);_(* \(#,##0.000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"/>
    <numFmt numFmtId="223" formatCode="0.0000000"/>
    <numFmt numFmtId="224" formatCode="m/d;@"/>
    <numFmt numFmtId="225" formatCode="[$-409]dddd\,\ mmmm\ dd\,\ yyyy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u val="single"/>
      <sz val="14.4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4.4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Times New Roman"/>
      <family val="0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??"/>
      <family val="3"/>
    </font>
    <font>
      <sz val="10"/>
      <name val="???"/>
      <family val="3"/>
    </font>
    <font>
      <sz val="14"/>
      <name val="VnTime"/>
      <family val="0"/>
    </font>
    <font>
      <sz val="12"/>
      <name val=".VnTime"/>
      <family val="0"/>
    </font>
    <font>
      <sz val="12"/>
      <name val="¹UAAA¼"/>
      <family val="3"/>
    </font>
    <font>
      <sz val="10"/>
      <color indexed="8"/>
      <name val="ARIAL"/>
      <family val="0"/>
    </font>
    <font>
      <b/>
      <i/>
      <sz val="16"/>
      <name val="Helv"/>
      <family val="0"/>
    </font>
    <font>
      <sz val="13"/>
      <name val=".VnTime"/>
      <family val="2"/>
    </font>
    <font>
      <sz val="12"/>
      <color indexed="12"/>
      <name val="Times New Roman"/>
      <family val="1"/>
    </font>
    <font>
      <u val="single"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1" fillId="0" borderId="0">
      <alignment/>
      <protection/>
    </xf>
    <xf numFmtId="1" fontId="32" fillId="0" borderId="1" applyBorder="0" applyAlignment="0">
      <protection/>
    </xf>
    <xf numFmtId="0" fontId="33" fillId="0" borderId="0">
      <alignment/>
      <protection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15" fontId="36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4" applyNumberFormat="0" applyFont="0" applyFill="0" applyAlignment="0" applyProtection="0"/>
    <xf numFmtId="3" fontId="37" fillId="0" borderId="0" applyNumberFormat="0" applyBorder="0" applyAlignment="0" applyProtection="0"/>
    <xf numFmtId="3" fontId="32" fillId="0" borderId="0">
      <alignment/>
      <protection locked="0"/>
    </xf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3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5" fillId="0" borderId="0">
      <alignment/>
      <protection/>
    </xf>
  </cellStyleXfs>
  <cellXfs count="250">
    <xf numFmtId="0" fontId="0" fillId="0" borderId="0" xfId="0" applyAlignment="1">
      <alignment/>
    </xf>
    <xf numFmtId="3" fontId="2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17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22" fillId="0" borderId="0" xfId="0" applyNumberFormat="1" applyFont="1" applyAlignment="1">
      <alignment vertical="top" wrapText="1"/>
    </xf>
    <xf numFmtId="3" fontId="4" fillId="0" borderId="1" xfId="46" applyNumberFormat="1" applyFont="1" applyBorder="1" applyAlignment="1">
      <alignment horizontal="center" vertical="top" wrapText="1"/>
      <protection/>
    </xf>
    <xf numFmtId="3" fontId="4" fillId="0" borderId="5" xfId="46" applyNumberFormat="1" applyFont="1" applyBorder="1" applyAlignment="1">
      <alignment horizontal="center" wrapText="1"/>
      <protection/>
    </xf>
    <xf numFmtId="3" fontId="4" fillId="0" borderId="5" xfId="46" applyNumberFormat="1" applyFont="1" applyBorder="1" applyAlignment="1">
      <alignment wrapText="1"/>
      <protection/>
    </xf>
    <xf numFmtId="3" fontId="4" fillId="0" borderId="6" xfId="46" applyNumberFormat="1" applyFont="1" applyBorder="1" applyAlignment="1">
      <alignment vertical="top" wrapText="1"/>
      <protection/>
    </xf>
    <xf numFmtId="3" fontId="4" fillId="0" borderId="6" xfId="46" applyNumberFormat="1" applyFont="1" applyBorder="1" applyAlignment="1">
      <alignment vertical="top" wrapText="1"/>
      <protection/>
    </xf>
    <xf numFmtId="3" fontId="2" fillId="0" borderId="6" xfId="46" applyNumberFormat="1" applyFont="1" applyBorder="1" applyAlignment="1">
      <alignment vertical="top" wrapText="1"/>
      <protection/>
    </xf>
    <xf numFmtId="3" fontId="2" fillId="0" borderId="6" xfId="46" applyNumberFormat="1" applyFont="1" applyBorder="1" applyAlignment="1" quotePrefix="1">
      <alignment vertical="top" wrapText="1"/>
      <protection/>
    </xf>
    <xf numFmtId="3" fontId="2" fillId="0" borderId="6" xfId="46" applyNumberFormat="1" applyFont="1" applyBorder="1" applyAlignment="1">
      <alignment vertical="top" wrapText="1"/>
      <protection/>
    </xf>
    <xf numFmtId="3" fontId="3" fillId="0" borderId="6" xfId="46" applyNumberFormat="1" applyFont="1" applyBorder="1" applyAlignment="1">
      <alignment vertical="top" wrapText="1"/>
      <protection/>
    </xf>
    <xf numFmtId="3" fontId="4" fillId="0" borderId="6" xfId="46" applyNumberFormat="1" applyFont="1" applyBorder="1" applyAlignment="1">
      <alignment horizontal="center" vertical="top" wrapText="1"/>
      <protection/>
    </xf>
    <xf numFmtId="3" fontId="3" fillId="0" borderId="6" xfId="46" applyNumberFormat="1" applyFont="1" applyBorder="1" applyAlignment="1">
      <alignment vertical="top" wrapText="1"/>
      <protection/>
    </xf>
    <xf numFmtId="3" fontId="3" fillId="0" borderId="6" xfId="46" applyNumberFormat="1" applyFont="1" applyBorder="1" applyAlignment="1">
      <alignment horizontal="right" vertical="top" wrapText="1"/>
      <protection/>
    </xf>
    <xf numFmtId="3" fontId="2" fillId="0" borderId="7" xfId="46" applyNumberFormat="1" applyFont="1" applyBorder="1" applyAlignment="1">
      <alignment vertical="top" wrapText="1"/>
      <protection/>
    </xf>
    <xf numFmtId="3" fontId="0" fillId="0" borderId="0" xfId="46" applyNumberFormat="1" applyFont="1" applyAlignment="1">
      <alignment vertical="top" wrapText="1"/>
      <protection/>
    </xf>
    <xf numFmtId="3" fontId="3" fillId="2" borderId="6" xfId="46" applyNumberFormat="1" applyFont="1" applyFill="1" applyBorder="1" applyAlignment="1">
      <alignment vertical="top" wrapText="1"/>
      <protection/>
    </xf>
    <xf numFmtId="3" fontId="3" fillId="2" borderId="6" xfId="46" applyNumberFormat="1" applyFont="1" applyFill="1" applyBorder="1" applyAlignment="1">
      <alignment vertical="top" wrapText="1"/>
      <protection/>
    </xf>
    <xf numFmtId="3" fontId="3" fillId="2" borderId="6" xfId="46" applyNumberFormat="1" applyFont="1" applyFill="1" applyBorder="1" applyAlignment="1">
      <alignment horizontal="right" vertical="top" wrapText="1"/>
      <protection/>
    </xf>
    <xf numFmtId="3" fontId="21" fillId="0" borderId="0" xfId="0" applyNumberFormat="1" applyFont="1" applyAlignment="1">
      <alignment vertical="top" wrapText="1"/>
    </xf>
    <xf numFmtId="3" fontId="38" fillId="0" borderId="0" xfId="0" applyNumberFormat="1" applyFont="1" applyAlignment="1">
      <alignment vertical="top" wrapText="1"/>
    </xf>
    <xf numFmtId="3" fontId="39" fillId="0" borderId="0" xfId="0" applyNumberFormat="1" applyFont="1" applyAlignment="1">
      <alignment vertical="top" wrapText="1"/>
    </xf>
    <xf numFmtId="3" fontId="40" fillId="0" borderId="0" xfId="0" applyNumberFormat="1" applyFont="1" applyAlignment="1">
      <alignment vertical="top" wrapText="1"/>
    </xf>
    <xf numFmtId="3" fontId="2" fillId="0" borderId="8" xfId="45" applyNumberFormat="1" applyFont="1" applyFill="1" applyBorder="1" applyAlignment="1">
      <alignment horizontal="right"/>
      <protection/>
    </xf>
    <xf numFmtId="3" fontId="2" fillId="0" borderId="8" xfId="45" applyNumberFormat="1" applyFont="1" applyFill="1" applyBorder="1" applyAlignment="1">
      <alignment horizontal="right"/>
      <protection/>
    </xf>
    <xf numFmtId="3" fontId="46" fillId="0" borderId="0" xfId="0" applyNumberFormat="1" applyFont="1" applyAlignment="1">
      <alignment vertical="top" wrapText="1"/>
    </xf>
    <xf numFmtId="3" fontId="4" fillId="0" borderId="6" xfId="46" applyNumberFormat="1" applyFont="1" applyFill="1" applyBorder="1" applyAlignment="1">
      <alignment vertical="top" wrapText="1"/>
      <protection/>
    </xf>
    <xf numFmtId="3" fontId="3" fillId="0" borderId="6" xfId="46" applyNumberFormat="1" applyFont="1" applyFill="1" applyBorder="1" applyAlignment="1">
      <alignment vertical="top" wrapText="1"/>
      <protection/>
    </xf>
    <xf numFmtId="3" fontId="4" fillId="0" borderId="6" xfId="46" applyNumberFormat="1" applyFont="1" applyFill="1" applyBorder="1" applyAlignment="1">
      <alignment vertical="top" wrapText="1"/>
      <protection/>
    </xf>
    <xf numFmtId="3" fontId="3" fillId="0" borderId="6" xfId="46" applyNumberFormat="1" applyFont="1" applyBorder="1" applyAlignment="1" quotePrefix="1">
      <alignment vertical="top" wrapText="1"/>
      <protection/>
    </xf>
    <xf numFmtId="3" fontId="4" fillId="0" borderId="5" xfId="46" applyNumberFormat="1" applyFont="1" applyBorder="1" applyAlignment="1">
      <alignment vertical="top" wrapText="1"/>
      <protection/>
    </xf>
    <xf numFmtId="3" fontId="2" fillId="0" borderId="9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2" fillId="2" borderId="5" xfId="46" applyNumberFormat="1" applyFont="1" applyFill="1" applyBorder="1" applyAlignment="1">
      <alignment vertical="top" wrapText="1"/>
      <protection/>
    </xf>
    <xf numFmtId="3" fontId="2" fillId="0" borderId="5" xfId="46" applyNumberFormat="1" applyFont="1" applyBorder="1" applyAlignment="1">
      <alignment vertical="top" wrapText="1"/>
      <protection/>
    </xf>
    <xf numFmtId="3" fontId="4" fillId="0" borderId="11" xfId="46" applyNumberFormat="1" applyFont="1" applyBorder="1" applyAlignment="1">
      <alignment vertical="top" wrapText="1"/>
      <protection/>
    </xf>
    <xf numFmtId="3" fontId="4" fillId="0" borderId="12" xfId="46" applyNumberFormat="1" applyFont="1" applyBorder="1" applyAlignment="1">
      <alignment vertical="top" wrapText="1"/>
      <protection/>
    </xf>
    <xf numFmtId="3" fontId="3" fillId="2" borderId="12" xfId="46" applyNumberFormat="1" applyFont="1" applyFill="1" applyBorder="1" applyAlignment="1">
      <alignment vertical="top" wrapText="1"/>
      <protection/>
    </xf>
    <xf numFmtId="3" fontId="3" fillId="0" borderId="12" xfId="46" applyNumberFormat="1" applyFont="1" applyBorder="1" applyAlignment="1">
      <alignment vertical="top" wrapText="1"/>
      <protection/>
    </xf>
    <xf numFmtId="3" fontId="2" fillId="0" borderId="13" xfId="0" applyNumberFormat="1" applyFont="1" applyBorder="1" applyAlignment="1">
      <alignment vertical="top" wrapText="1"/>
    </xf>
    <xf numFmtId="3" fontId="4" fillId="0" borderId="14" xfId="46" applyNumberFormat="1" applyFont="1" applyBorder="1" applyAlignment="1">
      <alignment vertical="top" wrapText="1"/>
      <protection/>
    </xf>
    <xf numFmtId="3" fontId="4" fillId="0" borderId="14" xfId="46" applyNumberFormat="1" applyFont="1" applyBorder="1" applyAlignment="1">
      <alignment vertical="top" wrapText="1"/>
      <protection/>
    </xf>
    <xf numFmtId="3" fontId="3" fillId="0" borderId="5" xfId="46" applyNumberFormat="1" applyFont="1" applyBorder="1" applyAlignment="1">
      <alignment vertical="top" wrapText="1"/>
      <protection/>
    </xf>
    <xf numFmtId="3" fontId="2" fillId="0" borderId="6" xfId="0" applyNumberFormat="1" applyFont="1" applyBorder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3" fontId="0" fillId="0" borderId="1" xfId="46" applyNumberFormat="1" applyFont="1" applyFill="1" applyBorder="1" applyAlignment="1">
      <alignment horizontal="center" vertical="center" wrapText="1"/>
      <protection/>
    </xf>
    <xf numFmtId="3" fontId="4" fillId="0" borderId="1" xfId="46" applyNumberFormat="1" applyFont="1" applyFill="1" applyBorder="1" applyAlignment="1">
      <alignment horizontal="center" vertical="top" wrapText="1"/>
      <protection/>
    </xf>
    <xf numFmtId="3" fontId="4" fillId="0" borderId="5" xfId="46" applyNumberFormat="1" applyFont="1" applyFill="1" applyBorder="1" applyAlignment="1">
      <alignment wrapText="1"/>
      <protection/>
    </xf>
    <xf numFmtId="3" fontId="2" fillId="0" borderId="6" xfId="46" applyNumberFormat="1" applyFont="1" applyFill="1" applyBorder="1" applyAlignment="1">
      <alignment vertical="top" wrapText="1"/>
      <protection/>
    </xf>
    <xf numFmtId="3" fontId="2" fillId="0" borderId="6" xfId="46" applyNumberFormat="1" applyFont="1" applyFill="1" applyBorder="1" applyAlignment="1">
      <alignment vertical="top" wrapText="1"/>
      <protection/>
    </xf>
    <xf numFmtId="3" fontId="3" fillId="0" borderId="6" xfId="46" applyNumberFormat="1" applyFont="1" applyFill="1" applyBorder="1" applyAlignment="1">
      <alignment horizontal="right" vertical="top" wrapText="1"/>
      <protection/>
    </xf>
    <xf numFmtId="3" fontId="3" fillId="0" borderId="6" xfId="46" applyNumberFormat="1" applyFont="1" applyFill="1" applyBorder="1" applyAlignment="1">
      <alignment vertical="top" wrapText="1"/>
      <protection/>
    </xf>
    <xf numFmtId="3" fontId="2" fillId="0" borderId="5" xfId="46" applyNumberFormat="1" applyFont="1" applyFill="1" applyBorder="1" applyAlignment="1">
      <alignment vertical="top" wrapText="1"/>
      <protection/>
    </xf>
    <xf numFmtId="3" fontId="3" fillId="0" borderId="12" xfId="46" applyNumberFormat="1" applyFont="1" applyFill="1" applyBorder="1" applyAlignment="1">
      <alignment vertical="top" wrapText="1"/>
      <protection/>
    </xf>
    <xf numFmtId="3" fontId="4" fillId="0" borderId="14" xfId="46" applyNumberFormat="1" applyFont="1" applyFill="1" applyBorder="1" applyAlignment="1">
      <alignment vertical="top" wrapText="1"/>
      <protection/>
    </xf>
    <xf numFmtId="3" fontId="2" fillId="0" borderId="7" xfId="46" applyNumberFormat="1" applyFont="1" applyFill="1" applyBorder="1" applyAlignment="1">
      <alignment vertical="top" wrapText="1"/>
      <protection/>
    </xf>
    <xf numFmtId="3" fontId="3" fillId="0" borderId="0" xfId="46" applyNumberFormat="1" applyFont="1" applyAlignment="1">
      <alignment horizontal="right" vertical="top"/>
      <protection/>
    </xf>
    <xf numFmtId="3" fontId="0" fillId="0" borderId="1" xfId="46" applyNumberFormat="1" applyFont="1" applyBorder="1" applyAlignment="1">
      <alignment horizontal="center" vertical="center" wrapText="1"/>
      <protection/>
    </xf>
    <xf numFmtId="3" fontId="2" fillId="2" borderId="6" xfId="46" applyNumberFormat="1" applyFont="1" applyFill="1" applyBorder="1" applyAlignment="1">
      <alignment vertical="top" wrapText="1"/>
      <protection/>
    </xf>
    <xf numFmtId="3" fontId="2" fillId="0" borderId="0" xfId="45" applyNumberFormat="1" applyFont="1" applyFill="1" applyAlignment="1">
      <alignment vertical="top" wrapText="1"/>
      <protection/>
    </xf>
    <xf numFmtId="3" fontId="21" fillId="0" borderId="0" xfId="45" applyNumberFormat="1" applyFont="1" applyFill="1" applyAlignment="1">
      <alignment vertical="top" wrapText="1"/>
      <protection/>
    </xf>
    <xf numFmtId="3" fontId="21" fillId="0" borderId="0" xfId="45" applyNumberFormat="1" applyFont="1" applyFill="1" applyAlignment="1">
      <alignment horizontal="center" vertical="top" wrapText="1"/>
      <protection/>
    </xf>
    <xf numFmtId="3" fontId="2" fillId="0" borderId="1" xfId="45" applyNumberFormat="1" applyFont="1" applyFill="1" applyBorder="1" applyAlignment="1">
      <alignment horizontal="center" vertical="center" wrapText="1"/>
      <protection/>
    </xf>
    <xf numFmtId="3" fontId="4" fillId="0" borderId="1" xfId="45" applyNumberFormat="1" applyFont="1" applyFill="1" applyBorder="1" applyAlignment="1">
      <alignment horizontal="center" vertical="top" wrapText="1"/>
      <protection/>
    </xf>
    <xf numFmtId="3" fontId="4" fillId="0" borderId="11" xfId="45" applyNumberFormat="1" applyFont="1" applyFill="1" applyBorder="1" applyAlignment="1">
      <alignment horizontal="center"/>
      <protection/>
    </xf>
    <xf numFmtId="3" fontId="4" fillId="0" borderId="11" xfId="45" applyNumberFormat="1" applyFont="1" applyFill="1" applyBorder="1" applyAlignment="1">
      <alignment horizontal="right"/>
      <protection/>
    </xf>
    <xf numFmtId="3" fontId="20" fillId="0" borderId="0" xfId="45" applyNumberFormat="1" applyFont="1" applyFill="1">
      <alignment/>
      <protection/>
    </xf>
    <xf numFmtId="3" fontId="4" fillId="0" borderId="15" xfId="45" applyNumberFormat="1" applyFont="1" applyFill="1" applyBorder="1" applyAlignment="1">
      <alignment horizontal="left"/>
      <protection/>
    </xf>
    <xf numFmtId="3" fontId="4" fillId="0" borderId="15" xfId="45" applyNumberFormat="1" applyFont="1" applyFill="1" applyBorder="1" applyAlignment="1">
      <alignment horizontal="right"/>
      <protection/>
    </xf>
    <xf numFmtId="3" fontId="4" fillId="0" borderId="8" xfId="45" applyNumberFormat="1" applyFont="1" applyFill="1" applyBorder="1" applyAlignment="1">
      <alignment horizontal="left"/>
      <protection/>
    </xf>
    <xf numFmtId="3" fontId="4" fillId="0" borderId="8" xfId="45" applyNumberFormat="1" applyFont="1" applyFill="1" applyBorder="1" applyAlignment="1">
      <alignment horizontal="right"/>
      <protection/>
    </xf>
    <xf numFmtId="3" fontId="2" fillId="0" borderId="8" xfId="45" applyNumberFormat="1" applyFont="1" applyFill="1" applyBorder="1" applyAlignment="1">
      <alignment horizontal="left"/>
      <protection/>
    </xf>
    <xf numFmtId="3" fontId="21" fillId="0" borderId="0" xfId="45" applyNumberFormat="1" applyFont="1" applyFill="1">
      <alignment/>
      <protection/>
    </xf>
    <xf numFmtId="3" fontId="24" fillId="0" borderId="0" xfId="45" applyNumberFormat="1" applyFont="1" applyFill="1">
      <alignment/>
      <protection/>
    </xf>
    <xf numFmtId="3" fontId="23" fillId="0" borderId="0" xfId="45" applyNumberFormat="1" applyFont="1" applyFill="1">
      <alignment/>
      <protection/>
    </xf>
    <xf numFmtId="3" fontId="2" fillId="0" borderId="8" xfId="45" applyNumberFormat="1" applyFont="1" applyFill="1" applyBorder="1" applyAlignment="1">
      <alignment horizontal="right" vertical="top"/>
      <protection/>
    </xf>
    <xf numFmtId="3" fontId="2" fillId="0" borderId="8" xfId="45" applyNumberFormat="1" applyFont="1" applyFill="1" applyBorder="1" applyAlignment="1">
      <alignment horizontal="left" vertical="top" wrapText="1"/>
      <protection/>
    </xf>
    <xf numFmtId="3" fontId="2" fillId="0" borderId="8" xfId="45" applyNumberFormat="1" applyFont="1" applyFill="1" applyBorder="1" applyAlignment="1">
      <alignment horizontal="right" vertical="top" wrapText="1"/>
      <protection/>
    </xf>
    <xf numFmtId="3" fontId="45" fillId="0" borderId="0" xfId="45" applyNumberFormat="1" applyFont="1" applyFill="1">
      <alignment/>
      <protection/>
    </xf>
    <xf numFmtId="3" fontId="38" fillId="0" borderId="0" xfId="45" applyNumberFormat="1" applyFont="1" applyFill="1" applyAlignment="1">
      <alignment vertical="top" wrapText="1"/>
      <protection/>
    </xf>
    <xf numFmtId="3" fontId="29" fillId="0" borderId="8" xfId="45" applyNumberFormat="1" applyFont="1" applyFill="1" applyBorder="1" applyAlignment="1">
      <alignment horizontal="left"/>
      <protection/>
    </xf>
    <xf numFmtId="3" fontId="19" fillId="0" borderId="0" xfId="45" applyNumberFormat="1" applyFont="1" applyFill="1">
      <alignment/>
      <protection/>
    </xf>
    <xf numFmtId="3" fontId="18" fillId="0" borderId="0" xfId="45" applyNumberFormat="1" applyFont="1" applyFill="1">
      <alignment/>
      <protection/>
    </xf>
    <xf numFmtId="3" fontId="18" fillId="0" borderId="0" xfId="45" applyNumberFormat="1" applyFont="1" applyFill="1">
      <alignment/>
      <protection/>
    </xf>
    <xf numFmtId="4" fontId="26" fillId="0" borderId="0" xfId="45" applyNumberFormat="1" applyFont="1" applyFill="1">
      <alignment/>
      <protection/>
    </xf>
    <xf numFmtId="3" fontId="25" fillId="0" borderId="0" xfId="45" applyNumberFormat="1" applyFont="1" applyFill="1">
      <alignment/>
      <protection/>
    </xf>
    <xf numFmtId="3" fontId="26" fillId="0" borderId="0" xfId="45" applyNumberFormat="1" applyFont="1" applyFill="1">
      <alignment/>
      <protection/>
    </xf>
    <xf numFmtId="3" fontId="27" fillId="0" borderId="0" xfId="45" applyNumberFormat="1" applyFont="1" applyFill="1">
      <alignment/>
      <protection/>
    </xf>
    <xf numFmtId="3" fontId="19" fillId="0" borderId="0" xfId="45" applyNumberFormat="1" applyFont="1" applyFill="1">
      <alignment/>
      <protection/>
    </xf>
    <xf numFmtId="3" fontId="28" fillId="0" borderId="0" xfId="45" applyNumberFormat="1" applyFont="1" applyFill="1">
      <alignment/>
      <protection/>
    </xf>
    <xf numFmtId="3" fontId="29" fillId="0" borderId="8" xfId="45" applyNumberFormat="1" applyFont="1" applyFill="1" applyBorder="1" applyAlignment="1">
      <alignment horizontal="left"/>
      <protection/>
    </xf>
    <xf numFmtId="3" fontId="28" fillId="0" borderId="0" xfId="45" applyNumberFormat="1" applyFont="1" applyFill="1">
      <alignment/>
      <protection/>
    </xf>
    <xf numFmtId="3" fontId="27" fillId="0" borderId="0" xfId="45" applyNumberFormat="1" applyFont="1" applyFill="1">
      <alignment/>
      <protection/>
    </xf>
    <xf numFmtId="3" fontId="44" fillId="0" borderId="0" xfId="45" applyNumberFormat="1" applyFont="1" applyFill="1">
      <alignment/>
      <protection/>
    </xf>
    <xf numFmtId="3" fontId="43" fillId="0" borderId="0" xfId="45" applyNumberFormat="1" applyFont="1" applyFill="1">
      <alignment/>
      <protection/>
    </xf>
    <xf numFmtId="3" fontId="25" fillId="0" borderId="0" xfId="45" applyNumberFormat="1" applyFont="1" applyFill="1">
      <alignment/>
      <protection/>
    </xf>
    <xf numFmtId="3" fontId="42" fillId="0" borderId="0" xfId="45" applyNumberFormat="1" applyFont="1" applyFill="1">
      <alignment/>
      <protection/>
    </xf>
    <xf numFmtId="3" fontId="41" fillId="0" borderId="0" xfId="45" applyNumberFormat="1" applyFont="1" applyFill="1">
      <alignment/>
      <protection/>
    </xf>
    <xf numFmtId="3" fontId="19" fillId="0" borderId="0" xfId="45" applyNumberFormat="1" applyFont="1" applyFill="1" applyAlignment="1">
      <alignment vertical="top" wrapText="1"/>
      <protection/>
    </xf>
    <xf numFmtId="3" fontId="25" fillId="0" borderId="0" xfId="45" applyNumberFormat="1" applyFont="1" applyFill="1" applyAlignment="1">
      <alignment vertical="top" wrapText="1"/>
      <protection/>
    </xf>
    <xf numFmtId="3" fontId="26" fillId="0" borderId="0" xfId="45" applyNumberFormat="1" applyFont="1" applyFill="1">
      <alignment/>
      <protection/>
    </xf>
    <xf numFmtId="3" fontId="4" fillId="0" borderId="8" xfId="45" applyNumberFormat="1" applyFont="1" applyFill="1" applyBorder="1" applyAlignment="1">
      <alignment horizontal="left" vertical="top" wrapText="1"/>
      <protection/>
    </xf>
    <xf numFmtId="3" fontId="4" fillId="0" borderId="8" xfId="45" applyNumberFormat="1" applyFont="1" applyFill="1" applyBorder="1" applyAlignment="1">
      <alignment horizontal="right" vertical="top" wrapText="1"/>
      <protection/>
    </xf>
    <xf numFmtId="3" fontId="4" fillId="0" borderId="8" xfId="45" applyNumberFormat="1" applyFont="1" applyFill="1" applyBorder="1" applyAlignment="1">
      <alignment horizontal="right" vertical="top" wrapText="1"/>
      <protection/>
    </xf>
    <xf numFmtId="3" fontId="4" fillId="0" borderId="8" xfId="45" applyNumberFormat="1" applyFont="1" applyFill="1" applyBorder="1" applyAlignment="1">
      <alignment horizontal="right"/>
      <protection/>
    </xf>
    <xf numFmtId="3" fontId="20" fillId="0" borderId="0" xfId="45" applyNumberFormat="1" applyFont="1" applyFill="1" applyAlignment="1">
      <alignment vertical="top" wrapText="1"/>
      <protection/>
    </xf>
    <xf numFmtId="3" fontId="4" fillId="0" borderId="0" xfId="45" applyNumberFormat="1" applyFont="1" applyFill="1">
      <alignment/>
      <protection/>
    </xf>
    <xf numFmtId="3" fontId="2" fillId="0" borderId="0" xfId="45" applyNumberFormat="1" applyFont="1" applyFill="1">
      <alignment/>
      <protection/>
    </xf>
    <xf numFmtId="3" fontId="2" fillId="0" borderId="16" xfId="45" applyNumberFormat="1" applyFont="1" applyFill="1" applyBorder="1" applyAlignment="1">
      <alignment horizontal="right"/>
      <protection/>
    </xf>
    <xf numFmtId="3" fontId="4" fillId="0" borderId="10" xfId="0" applyNumberFormat="1" applyFont="1" applyBorder="1" applyAlignment="1">
      <alignment vertical="top" wrapText="1"/>
    </xf>
    <xf numFmtId="3" fontId="4" fillId="2" borderId="6" xfId="46" applyNumberFormat="1" applyFont="1" applyFill="1" applyBorder="1" applyAlignment="1">
      <alignment vertical="top" wrapText="1"/>
      <protection/>
    </xf>
    <xf numFmtId="3" fontId="2" fillId="0" borderId="0" xfId="45" applyNumberFormat="1">
      <alignment/>
      <protection/>
    </xf>
    <xf numFmtId="3" fontId="2" fillId="0" borderId="0" xfId="45" applyNumberFormat="1" applyFont="1">
      <alignment/>
      <protection/>
    </xf>
    <xf numFmtId="3" fontId="2" fillId="0" borderId="0" xfId="45" applyNumberFormat="1" applyFill="1">
      <alignment/>
      <protection/>
    </xf>
    <xf numFmtId="3" fontId="3" fillId="0" borderId="0" xfId="45" applyNumberFormat="1" applyFont="1" applyAlignment="1">
      <alignment horizontal="right"/>
      <protection/>
    </xf>
    <xf numFmtId="3" fontId="4" fillId="0" borderId="0" xfId="45" applyNumberFormat="1" applyFont="1" applyAlignment="1">
      <alignment horizontal="center" vertical="center" wrapText="1"/>
      <protection/>
    </xf>
    <xf numFmtId="0" fontId="2" fillId="0" borderId="17" xfId="45" applyFont="1" applyBorder="1" applyAlignment="1">
      <alignment horizontal="center" vertical="center" wrapText="1"/>
      <protection/>
    </xf>
    <xf numFmtId="0" fontId="1" fillId="0" borderId="1" xfId="45" applyFont="1" applyBorder="1" applyAlignment="1">
      <alignment horizontal="center" vertical="center"/>
      <protection/>
    </xf>
    <xf numFmtId="0" fontId="48" fillId="0" borderId="1" xfId="45" applyFont="1" applyBorder="1" applyAlignment="1">
      <alignment horizontal="center" vertical="center"/>
      <protection/>
    </xf>
    <xf numFmtId="3" fontId="1" fillId="0" borderId="0" xfId="45" applyNumberFormat="1" applyFont="1" applyAlignment="1">
      <alignment horizontal="center" vertical="center" wrapText="1"/>
      <protection/>
    </xf>
    <xf numFmtId="3" fontId="50" fillId="0" borderId="0" xfId="45" applyNumberFormat="1" applyFont="1">
      <alignment/>
      <protection/>
    </xf>
    <xf numFmtId="3" fontId="1" fillId="0" borderId="6" xfId="45" applyNumberFormat="1" applyFont="1" applyBorder="1" applyAlignment="1">
      <alignment horizontal="center"/>
      <protection/>
    </xf>
    <xf numFmtId="3" fontId="48" fillId="0" borderId="6" xfId="45" applyNumberFormat="1" applyFont="1" applyFill="1" applyBorder="1">
      <alignment/>
      <protection/>
    </xf>
    <xf numFmtId="3" fontId="51" fillId="0" borderId="6" xfId="45" applyNumberFormat="1" applyFont="1" applyBorder="1">
      <alignment/>
      <protection/>
    </xf>
    <xf numFmtId="3" fontId="52" fillId="0" borderId="0" xfId="45" applyNumberFormat="1" applyFont="1">
      <alignment/>
      <protection/>
    </xf>
    <xf numFmtId="3" fontId="1" fillId="0" borderId="0" xfId="45" applyNumberFormat="1" applyFont="1">
      <alignment/>
      <protection/>
    </xf>
    <xf numFmtId="3" fontId="51" fillId="0" borderId="12" xfId="45" applyNumberFormat="1" applyFont="1" applyBorder="1">
      <alignment/>
      <protection/>
    </xf>
    <xf numFmtId="3" fontId="1" fillId="0" borderId="12" xfId="45" applyNumberFormat="1" applyFont="1" applyBorder="1" applyAlignment="1">
      <alignment horizontal="center"/>
      <protection/>
    </xf>
    <xf numFmtId="3" fontId="48" fillId="0" borderId="12" xfId="45" applyNumberFormat="1" applyFont="1" applyFill="1" applyBorder="1">
      <alignment/>
      <protection/>
    </xf>
    <xf numFmtId="3" fontId="1" fillId="0" borderId="7" xfId="45" applyNumberFormat="1" applyFont="1" applyBorder="1" applyAlignment="1">
      <alignment horizontal="center"/>
      <protection/>
    </xf>
    <xf numFmtId="3" fontId="48" fillId="0" borderId="7" xfId="45" applyNumberFormat="1" applyFont="1" applyFill="1" applyBorder="1">
      <alignment/>
      <protection/>
    </xf>
    <xf numFmtId="3" fontId="2" fillId="0" borderId="7" xfId="45" applyNumberFormat="1" applyBorder="1">
      <alignment/>
      <protection/>
    </xf>
    <xf numFmtId="3" fontId="1" fillId="0" borderId="0" xfId="45" applyNumberFormat="1" applyFont="1" applyBorder="1" applyAlignment="1">
      <alignment horizontal="center"/>
      <protection/>
    </xf>
    <xf numFmtId="3" fontId="48" fillId="0" borderId="0" xfId="45" applyNumberFormat="1" applyFont="1" applyFill="1" applyBorder="1">
      <alignment/>
      <protection/>
    </xf>
    <xf numFmtId="3" fontId="2" fillId="0" borderId="0" xfId="45" applyNumberFormat="1" applyBorder="1">
      <alignment/>
      <protection/>
    </xf>
    <xf numFmtId="0" fontId="2" fillId="0" borderId="0" xfId="44" applyFont="1">
      <alignment/>
      <protection/>
    </xf>
    <xf numFmtId="0" fontId="28" fillId="0" borderId="1" xfId="44" applyFont="1" applyBorder="1" applyAlignment="1">
      <alignment horizontal="center" vertical="center"/>
      <protection/>
    </xf>
    <xf numFmtId="3" fontId="29" fillId="0" borderId="6" xfId="44" applyNumberFormat="1" applyFont="1" applyBorder="1" applyAlignment="1">
      <alignment horizontal="center" vertical="center"/>
      <protection/>
    </xf>
    <xf numFmtId="3" fontId="29" fillId="0" borderId="6" xfId="44" applyNumberFormat="1" applyFont="1" applyFill="1" applyBorder="1" applyAlignment="1">
      <alignment horizontal="left" vertical="center" wrapText="1"/>
      <protection/>
    </xf>
    <xf numFmtId="3" fontId="29" fillId="0" borderId="6" xfId="44" applyNumberFormat="1" applyFont="1" applyFill="1" applyBorder="1" applyAlignment="1">
      <alignment vertical="center"/>
      <protection/>
    </xf>
    <xf numFmtId="3" fontId="29" fillId="0" borderId="6" xfId="44" applyNumberFormat="1" applyFont="1" applyBorder="1" applyAlignment="1">
      <alignment vertical="center"/>
      <protection/>
    </xf>
    <xf numFmtId="3" fontId="29" fillId="0" borderId="12" xfId="44" applyNumberFormat="1" applyFont="1" applyBorder="1" applyAlignment="1">
      <alignment vertical="center"/>
      <protection/>
    </xf>
    <xf numFmtId="3" fontId="29" fillId="0" borderId="12" xfId="44" applyNumberFormat="1" applyFont="1" applyFill="1" applyBorder="1" applyAlignment="1">
      <alignment vertical="center"/>
      <protection/>
    </xf>
    <xf numFmtId="3" fontId="28" fillId="0" borderId="6" xfId="44" applyNumberFormat="1" applyFont="1" applyBorder="1" applyAlignment="1">
      <alignment horizontal="center" vertical="center"/>
      <protection/>
    </xf>
    <xf numFmtId="3" fontId="29" fillId="0" borderId="6" xfId="44" applyNumberFormat="1" applyFont="1" applyFill="1" applyBorder="1" applyAlignment="1">
      <alignment vertical="center" wrapText="1"/>
      <protection/>
    </xf>
    <xf numFmtId="3" fontId="28" fillId="0" borderId="6" xfId="44" applyNumberFormat="1" applyFont="1" applyFill="1" applyBorder="1" applyAlignment="1">
      <alignment vertical="center"/>
      <protection/>
    </xf>
    <xf numFmtId="3" fontId="28" fillId="0" borderId="6" xfId="44" applyNumberFormat="1" applyFont="1" applyFill="1" applyBorder="1" applyAlignment="1">
      <alignment vertical="center" wrapText="1"/>
      <protection/>
    </xf>
    <xf numFmtId="3" fontId="28" fillId="0" borderId="6" xfId="44" applyNumberFormat="1" applyFont="1" applyBorder="1" applyAlignment="1">
      <alignment vertical="center"/>
      <protection/>
    </xf>
    <xf numFmtId="3" fontId="29" fillId="0" borderId="7" xfId="44" applyNumberFormat="1" applyFont="1" applyBorder="1" applyAlignment="1">
      <alignment horizontal="center" vertical="center"/>
      <protection/>
    </xf>
    <xf numFmtId="3" fontId="29" fillId="0" borderId="12" xfId="44" applyNumberFormat="1" applyFont="1" applyFill="1" applyBorder="1" applyAlignment="1">
      <alignment vertical="center" wrapText="1"/>
      <protection/>
    </xf>
    <xf numFmtId="3" fontId="28" fillId="0" borderId="17" xfId="44" applyNumberFormat="1" applyFont="1" applyBorder="1" applyAlignment="1">
      <alignment horizontal="center" vertical="center"/>
      <protection/>
    </xf>
    <xf numFmtId="3" fontId="28" fillId="0" borderId="7" xfId="44" applyNumberFormat="1" applyFont="1" applyFill="1" applyBorder="1" applyAlignment="1">
      <alignment vertical="center" wrapText="1"/>
      <protection/>
    </xf>
    <xf numFmtId="3" fontId="28" fillId="0" borderId="7" xfId="44" applyNumberFormat="1" applyFont="1" applyFill="1" applyBorder="1" applyAlignment="1">
      <alignment vertical="center"/>
      <protection/>
    </xf>
    <xf numFmtId="3" fontId="28" fillId="0" borderId="7" xfId="44" applyNumberFormat="1" applyFont="1" applyBorder="1" applyAlignment="1">
      <alignment vertical="center"/>
      <protection/>
    </xf>
    <xf numFmtId="3" fontId="28" fillId="0" borderId="1" xfId="44" applyNumberFormat="1" applyFont="1" applyBorder="1" applyAlignment="1">
      <alignment horizontal="center" vertical="center"/>
      <protection/>
    </xf>
    <xf numFmtId="3" fontId="28" fillId="0" borderId="1" xfId="44" applyNumberFormat="1" applyFont="1" applyFill="1" applyBorder="1" applyAlignment="1">
      <alignment horizontal="center" vertical="center"/>
      <protection/>
    </xf>
    <xf numFmtId="3" fontId="28" fillId="0" borderId="1" xfId="44" applyNumberFormat="1" applyFont="1" applyBorder="1" applyAlignment="1">
      <alignment vertical="center"/>
      <protection/>
    </xf>
    <xf numFmtId="0" fontId="4" fillId="0" borderId="0" xfId="44" applyFont="1">
      <alignment/>
      <protection/>
    </xf>
    <xf numFmtId="3" fontId="48" fillId="0" borderId="0" xfId="0" applyNumberFormat="1" applyFont="1" applyAlignment="1">
      <alignment horizontal="center" vertical="top" wrapText="1"/>
    </xf>
    <xf numFmtId="3" fontId="4" fillId="0" borderId="1" xfId="45" applyNumberFormat="1" applyFont="1" applyFill="1" applyBorder="1" applyAlignment="1">
      <alignment horizontal="center" vertical="center" wrapText="1"/>
      <protection/>
    </xf>
    <xf numFmtId="0" fontId="2" fillId="0" borderId="1" xfId="45" applyFont="1" applyFill="1" applyBorder="1">
      <alignment/>
      <protection/>
    </xf>
    <xf numFmtId="3" fontId="1" fillId="0" borderId="0" xfId="45" applyNumberFormat="1" applyFont="1" applyFill="1" applyAlignment="1">
      <alignment horizontal="center" vertical="top" wrapText="1"/>
      <protection/>
    </xf>
    <xf numFmtId="0" fontId="4" fillId="0" borderId="0" xfId="44" applyFont="1" applyAlignment="1">
      <alignment horizontal="center" vertical="center" wrapText="1"/>
      <protection/>
    </xf>
    <xf numFmtId="0" fontId="4" fillId="0" borderId="18" xfId="44" applyFont="1" applyBorder="1" applyAlignment="1">
      <alignment horizontal="center"/>
      <protection/>
    </xf>
    <xf numFmtId="3" fontId="28" fillId="0" borderId="19" xfId="44" applyNumberFormat="1" applyFont="1" applyBorder="1" applyAlignment="1">
      <alignment horizontal="center" vertical="center" wrapText="1"/>
      <protection/>
    </xf>
    <xf numFmtId="0" fontId="29" fillId="0" borderId="11" xfId="44" applyFont="1" applyBorder="1" applyAlignment="1">
      <alignment horizontal="center" vertical="center" wrapText="1"/>
      <protection/>
    </xf>
    <xf numFmtId="0" fontId="29" fillId="0" borderId="17" xfId="44" applyFont="1" applyBorder="1" applyAlignment="1">
      <alignment horizontal="center" vertical="center" wrapText="1"/>
      <protection/>
    </xf>
    <xf numFmtId="0" fontId="53" fillId="0" borderId="11" xfId="44" applyFont="1" applyBorder="1" applyAlignment="1">
      <alignment horizontal="center" vertical="center" wrapText="1"/>
      <protection/>
    </xf>
    <xf numFmtId="0" fontId="53" fillId="0" borderId="17" xfId="44" applyFont="1" applyBorder="1" applyAlignment="1">
      <alignment horizontal="center" vertical="center" wrapText="1"/>
      <protection/>
    </xf>
    <xf numFmtId="0" fontId="28" fillId="0" borderId="1" xfId="44" applyFont="1" applyBorder="1" applyAlignment="1">
      <alignment horizontal="center" vertical="center" wrapText="1"/>
      <protection/>
    </xf>
    <xf numFmtId="3" fontId="28" fillId="0" borderId="19" xfId="44" applyNumberFormat="1" applyFont="1" applyFill="1" applyBorder="1" applyAlignment="1">
      <alignment horizontal="center" vertical="center" wrapText="1"/>
      <protection/>
    </xf>
    <xf numFmtId="3" fontId="1" fillId="0" borderId="0" xfId="44" applyNumberFormat="1" applyFont="1" applyAlignment="1">
      <alignment horizontal="center" vertical="center" wrapText="1"/>
      <protection/>
    </xf>
    <xf numFmtId="0" fontId="52" fillId="0" borderId="0" xfId="44" applyFont="1" applyAlignment="1">
      <alignment horizontal="center" vertical="center" wrapText="1"/>
      <protection/>
    </xf>
    <xf numFmtId="3" fontId="28" fillId="0" borderId="11" xfId="44" applyNumberFormat="1" applyFont="1" applyBorder="1" applyAlignment="1">
      <alignment horizontal="center" vertical="center" wrapText="1"/>
      <protection/>
    </xf>
    <xf numFmtId="0" fontId="28" fillId="0" borderId="19" xfId="44" applyFont="1" applyBorder="1" applyAlignment="1">
      <alignment horizontal="center" vertical="center" wrapText="1"/>
      <protection/>
    </xf>
    <xf numFmtId="3" fontId="4" fillId="0" borderId="1" xfId="46" applyNumberFormat="1" applyFont="1" applyBorder="1" applyAlignment="1">
      <alignment horizontal="center" vertical="center" wrapText="1"/>
      <protection/>
    </xf>
    <xf numFmtId="3" fontId="5" fillId="0" borderId="20" xfId="46" applyNumberFormat="1" applyFont="1" applyBorder="1" applyAlignment="1">
      <alignment horizontal="center" vertical="top" wrapText="1"/>
      <protection/>
    </xf>
    <xf numFmtId="3" fontId="5" fillId="0" borderId="3" xfId="46" applyNumberFormat="1" applyFont="1" applyBorder="1" applyAlignment="1">
      <alignment horizontal="center" vertical="top" wrapText="1"/>
      <protection/>
    </xf>
    <xf numFmtId="3" fontId="5" fillId="0" borderId="21" xfId="46" applyNumberFormat="1" applyFont="1" applyBorder="1" applyAlignment="1">
      <alignment horizontal="center" vertical="top" wrapText="1"/>
      <protection/>
    </xf>
    <xf numFmtId="3" fontId="3" fillId="0" borderId="1" xfId="46" applyNumberFormat="1" applyFont="1" applyBorder="1" applyAlignment="1">
      <alignment horizontal="center" vertical="top" wrapText="1"/>
      <protection/>
    </xf>
    <xf numFmtId="3" fontId="1" fillId="0" borderId="0" xfId="46" applyNumberFormat="1" applyFont="1" applyAlignment="1">
      <alignment horizontal="center" vertical="top" wrapText="1"/>
      <protection/>
    </xf>
    <xf numFmtId="3" fontId="48" fillId="0" borderId="19" xfId="45" applyNumberFormat="1" applyFont="1" applyBorder="1" applyAlignment="1">
      <alignment horizontal="center" vertical="center" wrapText="1"/>
      <protection/>
    </xf>
    <xf numFmtId="3" fontId="48" fillId="0" borderId="11" xfId="45" applyNumberFormat="1" applyFont="1" applyBorder="1" applyAlignment="1">
      <alignment horizontal="center" vertical="center" wrapText="1"/>
      <protection/>
    </xf>
    <xf numFmtId="3" fontId="48" fillId="0" borderId="17" xfId="45" applyNumberFormat="1" applyFont="1" applyBorder="1" applyAlignment="1">
      <alignment horizontal="center" vertical="center" wrapText="1"/>
      <protection/>
    </xf>
    <xf numFmtId="0" fontId="4" fillId="0" borderId="19" xfId="45" applyFont="1" applyBorder="1" applyAlignment="1">
      <alignment horizontal="center" vertical="center" wrapText="1"/>
      <protection/>
    </xf>
    <xf numFmtId="0" fontId="4" fillId="0" borderId="17" xfId="45" applyFont="1" applyBorder="1" applyAlignment="1">
      <alignment horizontal="center" vertical="center" wrapText="1"/>
      <protection/>
    </xf>
    <xf numFmtId="0" fontId="4" fillId="0" borderId="20" xfId="45" applyFont="1" applyBorder="1" applyAlignment="1">
      <alignment horizontal="center" vertical="center" wrapText="1"/>
      <protection/>
    </xf>
    <xf numFmtId="0" fontId="4" fillId="0" borderId="3" xfId="45" applyFont="1" applyBorder="1" applyAlignment="1">
      <alignment horizontal="center" vertical="center" wrapText="1"/>
      <protection/>
    </xf>
    <xf numFmtId="0" fontId="4" fillId="0" borderId="21" xfId="45" applyFont="1" applyBorder="1" applyAlignment="1">
      <alignment horizontal="center" vertical="center" wrapText="1"/>
      <protection/>
    </xf>
    <xf numFmtId="3" fontId="47" fillId="0" borderId="22" xfId="45" applyNumberFormat="1" applyFont="1" applyBorder="1" applyAlignment="1">
      <alignment horizontal="center" vertical="top"/>
      <protection/>
    </xf>
    <xf numFmtId="3" fontId="1" fillId="0" borderId="0" xfId="45" applyNumberFormat="1" applyFont="1" applyAlignment="1">
      <alignment horizontal="center"/>
      <protection/>
    </xf>
    <xf numFmtId="3" fontId="49" fillId="0" borderId="20" xfId="45" applyNumberFormat="1" applyFont="1" applyBorder="1" applyAlignment="1">
      <alignment horizontal="center" vertical="center" wrapText="1"/>
      <protection/>
    </xf>
    <xf numFmtId="3" fontId="49" fillId="0" borderId="3" xfId="45" applyNumberFormat="1" applyFont="1" applyBorder="1" applyAlignment="1">
      <alignment horizontal="center" vertical="center" wrapText="1"/>
      <protection/>
    </xf>
    <xf numFmtId="3" fontId="49" fillId="0" borderId="21" xfId="45" applyNumberFormat="1" applyFont="1" applyBorder="1" applyAlignment="1">
      <alignment horizontal="center" vertical="center" wrapText="1"/>
      <protection/>
    </xf>
    <xf numFmtId="3" fontId="4" fillId="0" borderId="19" xfId="45" applyNumberFormat="1" applyFont="1" applyBorder="1" applyAlignment="1">
      <alignment horizontal="center" vertical="center" wrapText="1"/>
      <protection/>
    </xf>
    <xf numFmtId="3" fontId="4" fillId="0" borderId="11" xfId="45" applyNumberFormat="1" applyFont="1" applyBorder="1" applyAlignment="1">
      <alignment horizontal="center" vertical="center" wrapText="1"/>
      <protection/>
    </xf>
    <xf numFmtId="3" fontId="4" fillId="0" borderId="17" xfId="45" applyNumberFormat="1" applyFont="1" applyBorder="1" applyAlignment="1">
      <alignment horizontal="center" vertical="center" wrapText="1"/>
      <protection/>
    </xf>
    <xf numFmtId="3" fontId="48" fillId="0" borderId="19" xfId="45" applyNumberFormat="1" applyFont="1" applyFill="1" applyBorder="1" applyAlignment="1">
      <alignment horizontal="center" vertical="center" wrapText="1"/>
      <protection/>
    </xf>
    <xf numFmtId="3" fontId="48" fillId="0" borderId="11" xfId="45" applyNumberFormat="1" applyFont="1" applyFill="1" applyBorder="1" applyAlignment="1">
      <alignment horizontal="center" vertical="center" wrapText="1"/>
      <protection/>
    </xf>
    <xf numFmtId="3" fontId="48" fillId="0" borderId="17" xfId="45" applyNumberFormat="1" applyFont="1" applyFill="1" applyBorder="1" applyAlignment="1">
      <alignment horizontal="center" vertical="center" wrapText="1"/>
      <protection/>
    </xf>
    <xf numFmtId="3" fontId="52" fillId="0" borderId="0" xfId="45" applyNumberFormat="1" applyFont="1" applyFill="1" applyAlignment="1">
      <alignment vertical="top" wrapText="1"/>
      <protection/>
    </xf>
    <xf numFmtId="3" fontId="54" fillId="0" borderId="0" xfId="45" applyNumberFormat="1" applyFont="1" applyFill="1" applyAlignment="1">
      <alignment horizontal="right" vertical="top"/>
      <protection/>
    </xf>
    <xf numFmtId="3" fontId="54" fillId="0" borderId="0" xfId="45" applyNumberFormat="1" applyFont="1" applyAlignment="1">
      <alignment horizontal="center" vertical="top"/>
      <protection/>
    </xf>
    <xf numFmtId="3" fontId="0" fillId="0" borderId="6" xfId="46" applyNumberFormat="1" applyFont="1" applyFill="1" applyBorder="1" applyAlignment="1" quotePrefix="1">
      <alignment horizontal="left" vertical="top" wrapText="1"/>
      <protection/>
    </xf>
    <xf numFmtId="3" fontId="0" fillId="0" borderId="7" xfId="46" applyNumberFormat="1" applyFont="1" applyFill="1" applyBorder="1" applyAlignment="1" quotePrefix="1">
      <alignment horizontal="left" vertical="top" wrapText="1"/>
      <protection/>
    </xf>
    <xf numFmtId="3" fontId="54" fillId="0" borderId="0" xfId="45" applyNumberFormat="1" applyFont="1" applyFill="1" applyAlignment="1">
      <alignment vertical="top" wrapText="1"/>
      <protection/>
    </xf>
    <xf numFmtId="3" fontId="4" fillId="0" borderId="20" xfId="45" applyNumberFormat="1" applyFont="1" applyFill="1" applyBorder="1" applyAlignment="1">
      <alignment horizontal="center" vertical="top" wrapText="1"/>
      <protection/>
    </xf>
    <xf numFmtId="3" fontId="4" fillId="0" borderId="3" xfId="45" applyNumberFormat="1" applyFont="1" applyFill="1" applyBorder="1" applyAlignment="1">
      <alignment horizontal="center" vertical="top" wrapText="1"/>
      <protection/>
    </xf>
    <xf numFmtId="3" fontId="4" fillId="0" borderId="21" xfId="45" applyNumberFormat="1" applyFont="1" applyFill="1" applyBorder="1" applyAlignment="1">
      <alignment horizontal="center" vertical="top" wrapText="1"/>
      <protection/>
    </xf>
    <xf numFmtId="3" fontId="2" fillId="0" borderId="1" xfId="45" applyNumberFormat="1" applyFont="1" applyFill="1" applyBorder="1" applyAlignment="1">
      <alignment horizontal="center" vertical="top" wrapText="1"/>
      <protection/>
    </xf>
    <xf numFmtId="3" fontId="2" fillId="0" borderId="8" xfId="45" applyNumberFormat="1" applyFont="1" applyFill="1" applyBorder="1" applyAlignment="1" quotePrefix="1">
      <alignment horizontal="left"/>
      <protection/>
    </xf>
    <xf numFmtId="3" fontId="29" fillId="0" borderId="8" xfId="45" applyNumberFormat="1" applyFont="1" applyFill="1" applyBorder="1" applyAlignment="1" quotePrefix="1">
      <alignment horizontal="left"/>
      <protection/>
    </xf>
    <xf numFmtId="3" fontId="29" fillId="0" borderId="8" xfId="45" applyNumberFormat="1" applyFont="1" applyFill="1" applyBorder="1" applyAlignment="1" quotePrefix="1">
      <alignment horizontal="left" vertical="top" wrapText="1"/>
      <protection/>
    </xf>
    <xf numFmtId="3" fontId="29" fillId="0" borderId="8" xfId="45" applyNumberFormat="1" applyFont="1" applyFill="1" applyBorder="1" applyAlignment="1" quotePrefix="1">
      <alignment horizontal="left"/>
      <protection/>
    </xf>
    <xf numFmtId="0" fontId="54" fillId="0" borderId="0" xfId="44" applyFont="1" applyAlignment="1">
      <alignment horizontal="center" vertical="center" wrapText="1"/>
      <protection/>
    </xf>
    <xf numFmtId="3" fontId="52" fillId="0" borderId="0" xfId="45" applyNumberFormat="1" applyFont="1" applyFill="1" applyAlignment="1">
      <alignment horizontal="center" vertical="top"/>
      <protection/>
    </xf>
    <xf numFmtId="3" fontId="28" fillId="0" borderId="23" xfId="44" applyNumberFormat="1" applyFont="1" applyBorder="1" applyAlignment="1">
      <alignment horizontal="center" vertical="center"/>
      <protection/>
    </xf>
    <xf numFmtId="3" fontId="28" fillId="0" borderId="23" xfId="44" applyNumberFormat="1" applyFont="1" applyFill="1" applyBorder="1" applyAlignment="1">
      <alignment vertical="center"/>
      <protection/>
    </xf>
    <xf numFmtId="3" fontId="28" fillId="0" borderId="23" xfId="44" applyNumberFormat="1" applyFont="1" applyBorder="1" applyAlignment="1">
      <alignment vertical="center"/>
      <protection/>
    </xf>
    <xf numFmtId="3" fontId="28" fillId="0" borderId="6" xfId="44" applyNumberFormat="1" applyFont="1" applyFill="1" applyBorder="1" applyAlignment="1">
      <alignment horizontal="left" vertical="center" wrapText="1"/>
      <protection/>
    </xf>
    <xf numFmtId="3" fontId="0" fillId="0" borderId="0" xfId="46" applyNumberFormat="1" applyFont="1" applyFill="1" applyAlignment="1">
      <alignment vertical="top" wrapText="1"/>
      <protection/>
    </xf>
    <xf numFmtId="0" fontId="0" fillId="0" borderId="1" xfId="46" applyFont="1" applyBorder="1">
      <alignment/>
      <protection/>
    </xf>
    <xf numFmtId="3" fontId="0" fillId="0" borderId="6" xfId="46" applyNumberFormat="1" applyFont="1" applyBorder="1" applyAlignment="1" quotePrefix="1">
      <alignment vertical="top" wrapText="1"/>
      <protection/>
    </xf>
    <xf numFmtId="3" fontId="2" fillId="2" borderId="6" xfId="46" applyNumberFormat="1" applyFont="1" applyFill="1" applyBorder="1" applyAlignment="1" quotePrefix="1">
      <alignment vertical="top" wrapText="1"/>
      <protection/>
    </xf>
    <xf numFmtId="3" fontId="3" fillId="0" borderId="5" xfId="46" applyNumberFormat="1" applyFont="1" applyFill="1" applyBorder="1" applyAlignment="1">
      <alignment vertical="top" wrapText="1"/>
      <protection/>
    </xf>
    <xf numFmtId="3" fontId="3" fillId="0" borderId="5" xfId="46" applyNumberFormat="1" applyFont="1" applyBorder="1" applyAlignment="1">
      <alignment vertical="top" wrapText="1"/>
      <protection/>
    </xf>
    <xf numFmtId="3" fontId="2" fillId="0" borderId="0" xfId="0" applyNumberFormat="1" applyFont="1" applyAlignment="1">
      <alignment vertical="top" wrapText="1"/>
    </xf>
    <xf numFmtId="3" fontId="0" fillId="0" borderId="5" xfId="46" applyNumberFormat="1" applyFont="1" applyBorder="1" applyAlignment="1" quotePrefix="1">
      <alignment vertical="top" wrapText="1"/>
      <protection/>
    </xf>
    <xf numFmtId="3" fontId="0" fillId="0" borderId="7" xfId="46" applyNumberFormat="1" applyFont="1" applyBorder="1" applyAlignment="1" quotePrefix="1">
      <alignment vertical="top" wrapText="1"/>
      <protection/>
    </xf>
    <xf numFmtId="3" fontId="0" fillId="0" borderId="6" xfId="46" applyNumberFormat="1" applyFont="1" applyBorder="1" applyAlignment="1">
      <alignment vertical="top" wrapText="1"/>
      <protection/>
    </xf>
    <xf numFmtId="3" fontId="0" fillId="2" borderId="6" xfId="46" applyNumberFormat="1" applyFont="1" applyFill="1" applyBorder="1" applyAlignment="1">
      <alignment vertical="top" wrapText="1"/>
      <protection/>
    </xf>
    <xf numFmtId="3" fontId="2" fillId="2" borderId="6" xfId="46" applyNumberFormat="1" applyFont="1" applyFill="1" applyBorder="1" applyAlignment="1">
      <alignment vertical="top" wrapText="1"/>
      <protection/>
    </xf>
    <xf numFmtId="3" fontId="4" fillId="0" borderId="6" xfId="46" applyNumberFormat="1" applyFont="1" applyBorder="1" applyAlignment="1" quotePrefix="1">
      <alignment vertical="top" wrapText="1"/>
      <protection/>
    </xf>
    <xf numFmtId="3" fontId="4" fillId="0" borderId="12" xfId="46" applyNumberFormat="1" applyFont="1" applyBorder="1" applyAlignment="1" quotePrefix="1">
      <alignment vertical="top" wrapText="1"/>
      <protection/>
    </xf>
    <xf numFmtId="3" fontId="3" fillId="0" borderId="0" xfId="45" applyNumberFormat="1" applyFont="1" applyAlignment="1">
      <alignment horizontal="center" vertical="top"/>
      <protection/>
    </xf>
    <xf numFmtId="3" fontId="52" fillId="0" borderId="0" xfId="45" applyNumberFormat="1" applyFont="1" applyFill="1" applyAlignment="1">
      <alignment horizontal="center" vertical="top" wrapText="1"/>
      <protection/>
    </xf>
    <xf numFmtId="3" fontId="1" fillId="0" borderId="5" xfId="45" applyNumberFormat="1" applyFont="1" applyBorder="1">
      <alignment/>
      <protection/>
    </xf>
    <xf numFmtId="3" fontId="48" fillId="0" borderId="5" xfId="45" applyNumberFormat="1" applyFont="1" applyFill="1" applyBorder="1" applyAlignment="1">
      <alignment horizontal="center"/>
      <protection/>
    </xf>
    <xf numFmtId="3" fontId="48" fillId="0" borderId="5" xfId="45" applyNumberFormat="1" applyFont="1" applyBorder="1">
      <alignment/>
      <protection/>
    </xf>
    <xf numFmtId="3" fontId="2" fillId="0" borderId="12" xfId="45" applyNumberFormat="1" applyFont="1" applyBorder="1">
      <alignment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0" xfId="22"/>
    <cellStyle name="20" xfId="23"/>
    <cellStyle name="AeE­_INQUIRY ¿μ¾÷AßAø " xfId="24"/>
    <cellStyle name="AÞ¸¶ [0]_INQUIRY ¿?¾÷AßAø " xfId="25"/>
    <cellStyle name="AÞ¸¶_INQUIRY ¿?¾÷AßAø " xfId="26"/>
    <cellStyle name="C?AØ_¿?¾÷CoE² " xfId="27"/>
    <cellStyle name="C￥AØ_¿μ¾÷CoE² " xfId="28"/>
    <cellStyle name="Comma" xfId="29"/>
    <cellStyle name="Comma [0]" xfId="30"/>
    <cellStyle name="Comma0" xfId="31"/>
    <cellStyle name="Currency" xfId="32"/>
    <cellStyle name="Currency [0]" xfId="33"/>
    <cellStyle name="Currency0" xfId="34"/>
    <cellStyle name="Date" xfId="35"/>
    <cellStyle name="Fixed" xfId="36"/>
    <cellStyle name="Followed Hyperlink" xfId="37"/>
    <cellStyle name="Header1" xfId="38"/>
    <cellStyle name="Header2" xfId="39"/>
    <cellStyle name="Heading 1" xfId="40"/>
    <cellStyle name="Heading 2" xfId="41"/>
    <cellStyle name="Hyperlink" xfId="42"/>
    <cellStyle name="Normal - Style1" xfId="43"/>
    <cellStyle name="Normal_Dự toán 2012 khối tỉnh đã chỉnh sửa" xfId="44"/>
    <cellStyle name="Normal_Giao KH nam 2007" xfId="45"/>
    <cellStyle name="Normal_KH DC 2009 gui HĐND" xfId="46"/>
    <cellStyle name="Percent" xfId="47"/>
    <cellStyle name="Total" xfId="48"/>
    <cellStyle name="Vn Time 13" xfId="49"/>
    <cellStyle name="Vn Time 14" xfId="50"/>
    <cellStyle name="똿뗦먛귟 [0.00]_PRODUCT DETAIL Q1" xfId="51"/>
    <cellStyle name="똿뗦먛귟_PRODUCT DETAIL Q1" xfId="52"/>
    <cellStyle name="믅됞 [0.00]_PRODUCT DETAIL Q1" xfId="53"/>
    <cellStyle name="믅됞_PRODUCT DETAIL Q1" xfId="54"/>
    <cellStyle name="백분율_HOBONG" xfId="55"/>
    <cellStyle name="뷭?_BOOKSHIP" xfId="56"/>
    <cellStyle name="콤마 [0]_1202" xfId="57"/>
    <cellStyle name="콤마_1202" xfId="58"/>
    <cellStyle name="통화 [0]_1202" xfId="59"/>
    <cellStyle name="통화_1202" xfId="60"/>
    <cellStyle name="표준_(정보부문)월별인원계획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5</xdr:row>
      <xdr:rowOff>9525</xdr:rowOff>
    </xdr:from>
    <xdr:to>
      <xdr:col>5</xdr:col>
      <xdr:colOff>542925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048250" y="11430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9525</xdr:rowOff>
    </xdr:from>
    <xdr:to>
      <xdr:col>5</xdr:col>
      <xdr:colOff>133350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657475" y="11430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266700</xdr:rowOff>
    </xdr:from>
    <xdr:to>
      <xdr:col>6</xdr:col>
      <xdr:colOff>76200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609975" y="9429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1847850</xdr:colOff>
      <xdr:row>5</xdr:row>
      <xdr:rowOff>238125</xdr:rowOff>
    </xdr:from>
    <xdr:to>
      <xdr:col>3</xdr:col>
      <xdr:colOff>609600</xdr:colOff>
      <xdr:row>5</xdr:row>
      <xdr:rowOff>238125</xdr:rowOff>
    </xdr:to>
    <xdr:sp>
      <xdr:nvSpPr>
        <xdr:cNvPr id="1" name="Line 2"/>
        <xdr:cNvSpPr>
          <a:spLocks/>
        </xdr:cNvSpPr>
      </xdr:nvSpPr>
      <xdr:spPr>
        <a:xfrm>
          <a:off x="2181225" y="13144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NG%20TANG%20G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KE_2001\B-CAOQ~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H%20&#272;C%202012%20giaohuyen(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XL4Test5"/>
      <sheetName val="XL4Poppy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_lieu"/>
      <sheetName val="Sheet1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  <sheetName val="Bang ve"/>
      <sheetName val="Bang tong ke"/>
      <sheetName val="Liet ke vat tu"/>
    </sheetNames>
    <sheetDataSet>
      <sheetData sheetId="0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u"/>
      <sheetName val="Tong hop Chi"/>
      <sheetName val="Thu huyen"/>
      <sheetName val="Chi huyen "/>
      <sheetName val="Bo sung huyen"/>
      <sheetName val="DT cac DV khoi tinh"/>
      <sheetName val="Sheet1"/>
    </sheetNames>
    <sheetDataSet>
      <sheetData sheetId="0">
        <row r="71">
          <cell r="E71">
            <v>3500</v>
          </cell>
          <cell r="H71">
            <v>0</v>
          </cell>
          <cell r="I71">
            <v>1500</v>
          </cell>
          <cell r="J71">
            <v>3000</v>
          </cell>
          <cell r="L71">
            <v>3000</v>
          </cell>
          <cell r="M71">
            <v>3000</v>
          </cell>
          <cell r="N71">
            <v>3000</v>
          </cell>
        </row>
      </sheetData>
      <sheetData sheetId="2">
        <row r="44">
          <cell r="B44">
            <v>109445</v>
          </cell>
          <cell r="C44">
            <v>34687</v>
          </cell>
          <cell r="D44">
            <v>17876</v>
          </cell>
          <cell r="E44">
            <v>115308</v>
          </cell>
          <cell r="F44">
            <v>136209</v>
          </cell>
          <cell r="G44">
            <v>85074</v>
          </cell>
          <cell r="H44">
            <v>159649</v>
          </cell>
          <cell r="I44">
            <v>58166</v>
          </cell>
          <cell r="J44">
            <v>140633</v>
          </cell>
          <cell r="K44">
            <v>149795</v>
          </cell>
        </row>
        <row r="45">
          <cell r="B45">
            <v>14000</v>
          </cell>
          <cell r="C45">
            <v>13600</v>
          </cell>
          <cell r="D45">
            <v>12000</v>
          </cell>
          <cell r="E45">
            <v>14000</v>
          </cell>
          <cell r="F45">
            <v>13900</v>
          </cell>
          <cell r="G45">
            <v>10500</v>
          </cell>
          <cell r="H45">
            <v>14800</v>
          </cell>
          <cell r="I45">
            <v>11000</v>
          </cell>
          <cell r="J45">
            <v>10700</v>
          </cell>
          <cell r="K45">
            <v>15500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workbookViewId="0" topLeftCell="B1">
      <selection activeCell="I6" sqref="A5:N6"/>
    </sheetView>
  </sheetViews>
  <sheetFormatPr defaultColWidth="9.140625" defaultRowHeight="12.75"/>
  <cols>
    <col min="1" max="1" width="49.57421875" style="70" customWidth="1"/>
    <col min="2" max="2" width="14.140625" style="70" bestFit="1" customWidth="1"/>
    <col min="3" max="3" width="10.140625" style="69" bestFit="1" customWidth="1"/>
    <col min="4" max="4" width="10.57421875" style="70" customWidth="1"/>
    <col min="5" max="10" width="8.421875" style="70" bestFit="1" customWidth="1"/>
    <col min="11" max="11" width="9.28125" style="70" bestFit="1" customWidth="1"/>
    <col min="12" max="12" width="8.421875" style="70" bestFit="1" customWidth="1"/>
    <col min="13" max="13" width="8.421875" style="69" bestFit="1" customWidth="1"/>
    <col min="14" max="14" width="9.7109375" style="70" customWidth="1"/>
    <col min="15" max="16384" width="10.28125" style="70" customWidth="1"/>
  </cols>
  <sheetData>
    <row r="1" spans="1:3" ht="16.5">
      <c r="A1" s="168" t="s">
        <v>328</v>
      </c>
      <c r="B1" s="168"/>
      <c r="C1" s="3"/>
    </row>
    <row r="3" spans="1:14" ht="22.5" customHeight="1">
      <c r="A3" s="171" t="s">
        <v>96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8.75">
      <c r="A4" s="171" t="s">
        <v>106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18.75">
      <c r="A5" s="212" t="s">
        <v>338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</row>
    <row r="6" spans="1:14" ht="18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1" t="s">
        <v>0</v>
      </c>
    </row>
    <row r="7" spans="1:14" s="71" customFormat="1" ht="15.75" customHeight="1">
      <c r="A7" s="169" t="s">
        <v>1</v>
      </c>
      <c r="B7" s="169" t="s">
        <v>107</v>
      </c>
      <c r="C7" s="216" t="s">
        <v>2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8"/>
    </row>
    <row r="8" spans="1:14" s="71" customFormat="1" ht="15.75" customHeight="1">
      <c r="A8" s="169"/>
      <c r="B8" s="170"/>
      <c r="C8" s="169" t="s">
        <v>3</v>
      </c>
      <c r="D8" s="169" t="s">
        <v>4</v>
      </c>
      <c r="E8" s="219" t="s">
        <v>2</v>
      </c>
      <c r="F8" s="219"/>
      <c r="G8" s="219"/>
      <c r="H8" s="219"/>
      <c r="I8" s="219"/>
      <c r="J8" s="219"/>
      <c r="K8" s="219"/>
      <c r="L8" s="219"/>
      <c r="M8" s="219"/>
      <c r="N8" s="219"/>
    </row>
    <row r="9" spans="1:14" s="71" customFormat="1" ht="31.5">
      <c r="A9" s="169"/>
      <c r="B9" s="170"/>
      <c r="C9" s="169"/>
      <c r="D9" s="169"/>
      <c r="E9" s="72" t="s">
        <v>5</v>
      </c>
      <c r="F9" s="72" t="s">
        <v>11</v>
      </c>
      <c r="G9" s="72" t="s">
        <v>7</v>
      </c>
      <c r="H9" s="72" t="s">
        <v>6</v>
      </c>
      <c r="I9" s="72" t="s">
        <v>8</v>
      </c>
      <c r="J9" s="72" t="s">
        <v>9</v>
      </c>
      <c r="K9" s="72" t="s">
        <v>10</v>
      </c>
      <c r="L9" s="72" t="s">
        <v>12</v>
      </c>
      <c r="M9" s="72" t="s">
        <v>73</v>
      </c>
      <c r="N9" s="72" t="s">
        <v>74</v>
      </c>
    </row>
    <row r="10" spans="1:14" ht="15.75">
      <c r="A10" s="73">
        <v>1</v>
      </c>
      <c r="B10" s="73" t="s">
        <v>13</v>
      </c>
      <c r="C10" s="73">
        <v>3</v>
      </c>
      <c r="D10" s="73" t="s">
        <v>75</v>
      </c>
      <c r="E10" s="73">
        <v>5</v>
      </c>
      <c r="F10" s="73">
        <v>6</v>
      </c>
      <c r="G10" s="73">
        <v>7</v>
      </c>
      <c r="H10" s="73">
        <v>8</v>
      </c>
      <c r="I10" s="73">
        <v>9</v>
      </c>
      <c r="J10" s="73">
        <v>10</v>
      </c>
      <c r="K10" s="73">
        <v>11</v>
      </c>
      <c r="L10" s="73">
        <v>12</v>
      </c>
      <c r="M10" s="73">
        <v>13</v>
      </c>
      <c r="N10" s="73">
        <v>14</v>
      </c>
    </row>
    <row r="11" spans="1:14" s="76" customFormat="1" ht="24.75" customHeight="1">
      <c r="A11" s="74" t="s">
        <v>65</v>
      </c>
      <c r="B11" s="75">
        <f aca="true" t="shared" si="0" ref="B11:N11">B12+B58</f>
        <v>5709312</v>
      </c>
      <c r="C11" s="75">
        <f t="shared" si="0"/>
        <v>2961356</v>
      </c>
      <c r="D11" s="75">
        <f t="shared" si="0"/>
        <v>2747956</v>
      </c>
      <c r="E11" s="75">
        <f t="shared" si="0"/>
        <v>324347</v>
      </c>
      <c r="F11" s="75">
        <f t="shared" si="0"/>
        <v>192084</v>
      </c>
      <c r="G11" s="75">
        <f t="shared" si="0"/>
        <v>200519</v>
      </c>
      <c r="H11" s="75">
        <f t="shared" si="0"/>
        <v>292434</v>
      </c>
      <c r="I11" s="75">
        <f t="shared" si="0"/>
        <v>308537</v>
      </c>
      <c r="J11" s="75">
        <f t="shared" si="0"/>
        <v>165888</v>
      </c>
      <c r="K11" s="75">
        <f t="shared" si="0"/>
        <v>357329</v>
      </c>
      <c r="L11" s="75">
        <f t="shared" si="0"/>
        <v>215776</v>
      </c>
      <c r="M11" s="75">
        <f t="shared" si="0"/>
        <v>271325</v>
      </c>
      <c r="N11" s="75">
        <f t="shared" si="0"/>
        <v>419717</v>
      </c>
    </row>
    <row r="12" spans="1:14" s="76" customFormat="1" ht="15.75" customHeight="1">
      <c r="A12" s="77" t="s">
        <v>44</v>
      </c>
      <c r="B12" s="78">
        <f>B13+B26+SUM(B49:B57)</f>
        <v>5459312</v>
      </c>
      <c r="C12" s="78">
        <f>C13+C26+SUM(C49:C57)</f>
        <v>2827956</v>
      </c>
      <c r="D12" s="78">
        <f aca="true" t="shared" si="1" ref="D12:N12">D13+D26+SUM(D50:D57)</f>
        <v>2631356</v>
      </c>
      <c r="E12" s="78">
        <f t="shared" si="1"/>
        <v>316347</v>
      </c>
      <c r="F12" s="78">
        <f t="shared" si="1"/>
        <v>167084</v>
      </c>
      <c r="G12" s="78">
        <f t="shared" si="1"/>
        <v>185619</v>
      </c>
      <c r="H12" s="78">
        <f t="shared" si="1"/>
        <v>284434</v>
      </c>
      <c r="I12" s="78">
        <f t="shared" si="1"/>
        <v>296737</v>
      </c>
      <c r="J12" s="78">
        <f t="shared" si="1"/>
        <v>161488</v>
      </c>
      <c r="K12" s="78">
        <f t="shared" si="1"/>
        <v>340729</v>
      </c>
      <c r="L12" s="78">
        <f t="shared" si="1"/>
        <v>203376</v>
      </c>
      <c r="M12" s="78">
        <f t="shared" si="1"/>
        <v>263825</v>
      </c>
      <c r="N12" s="78">
        <f t="shared" si="1"/>
        <v>411717</v>
      </c>
    </row>
    <row r="13" spans="1:14" s="76" customFormat="1" ht="15.75">
      <c r="A13" s="79" t="s">
        <v>45</v>
      </c>
      <c r="B13" s="80">
        <f aca="true" t="shared" si="2" ref="B13:N13">B14+B25</f>
        <v>1725624</v>
      </c>
      <c r="C13" s="80">
        <f t="shared" si="2"/>
        <v>1469574</v>
      </c>
      <c r="D13" s="80">
        <f t="shared" si="2"/>
        <v>256050</v>
      </c>
      <c r="E13" s="80">
        <f t="shared" si="2"/>
        <v>60395</v>
      </c>
      <c r="F13" s="80">
        <f t="shared" si="2"/>
        <v>20800</v>
      </c>
      <c r="G13" s="80">
        <f t="shared" si="2"/>
        <v>18000</v>
      </c>
      <c r="H13" s="80">
        <f t="shared" si="2"/>
        <v>25215</v>
      </c>
      <c r="I13" s="80">
        <f t="shared" si="2"/>
        <v>22900</v>
      </c>
      <c r="J13" s="80">
        <f t="shared" si="2"/>
        <v>12900</v>
      </c>
      <c r="K13" s="80">
        <f t="shared" si="2"/>
        <v>34600</v>
      </c>
      <c r="L13" s="80">
        <f t="shared" si="2"/>
        <v>23040</v>
      </c>
      <c r="M13" s="80">
        <f t="shared" si="2"/>
        <v>16700</v>
      </c>
      <c r="N13" s="80">
        <f t="shared" si="2"/>
        <v>21500</v>
      </c>
    </row>
    <row r="14" spans="1:15" s="82" customFormat="1" ht="15.75">
      <c r="A14" s="81" t="s">
        <v>46</v>
      </c>
      <c r="B14" s="34">
        <f aca="true" t="shared" si="3" ref="B14:N14">B15+B24</f>
        <v>1723124</v>
      </c>
      <c r="C14" s="34">
        <f t="shared" si="3"/>
        <v>1467074</v>
      </c>
      <c r="D14" s="34">
        <f t="shared" si="3"/>
        <v>256050</v>
      </c>
      <c r="E14" s="34">
        <f t="shared" si="3"/>
        <v>60395</v>
      </c>
      <c r="F14" s="34">
        <f t="shared" si="3"/>
        <v>20800</v>
      </c>
      <c r="G14" s="34">
        <f t="shared" si="3"/>
        <v>18000</v>
      </c>
      <c r="H14" s="34">
        <f t="shared" si="3"/>
        <v>25215</v>
      </c>
      <c r="I14" s="34">
        <f t="shared" si="3"/>
        <v>22900</v>
      </c>
      <c r="J14" s="34">
        <f t="shared" si="3"/>
        <v>12900</v>
      </c>
      <c r="K14" s="34">
        <f t="shared" si="3"/>
        <v>34600</v>
      </c>
      <c r="L14" s="34">
        <f t="shared" si="3"/>
        <v>23040</v>
      </c>
      <c r="M14" s="34">
        <f t="shared" si="3"/>
        <v>16700</v>
      </c>
      <c r="N14" s="34">
        <f t="shared" si="3"/>
        <v>21500</v>
      </c>
      <c r="O14" s="76"/>
    </row>
    <row r="15" spans="1:15" s="82" customFormat="1" ht="15.75">
      <c r="A15" s="81" t="s">
        <v>47</v>
      </c>
      <c r="B15" s="34">
        <f aca="true" t="shared" si="4" ref="B15:B57">C15+D15</f>
        <v>1693124</v>
      </c>
      <c r="C15" s="34">
        <f>C16+C17+C18+C19+C20+C21+C22+C23</f>
        <v>1437074</v>
      </c>
      <c r="D15" s="34">
        <f aca="true" t="shared" si="5" ref="D15:N15">SUM(D16:D19)</f>
        <v>256050</v>
      </c>
      <c r="E15" s="34">
        <f t="shared" si="5"/>
        <v>60395</v>
      </c>
      <c r="F15" s="34">
        <f t="shared" si="5"/>
        <v>20800</v>
      </c>
      <c r="G15" s="34">
        <f t="shared" si="5"/>
        <v>18000</v>
      </c>
      <c r="H15" s="34">
        <f t="shared" si="5"/>
        <v>25215</v>
      </c>
      <c r="I15" s="34">
        <f t="shared" si="5"/>
        <v>22900</v>
      </c>
      <c r="J15" s="34">
        <f t="shared" si="5"/>
        <v>12900</v>
      </c>
      <c r="K15" s="34">
        <f t="shared" si="5"/>
        <v>34600</v>
      </c>
      <c r="L15" s="34">
        <f t="shared" si="5"/>
        <v>23040</v>
      </c>
      <c r="M15" s="34">
        <f t="shared" si="5"/>
        <v>16700</v>
      </c>
      <c r="N15" s="34">
        <f t="shared" si="5"/>
        <v>21500</v>
      </c>
      <c r="O15" s="76"/>
    </row>
    <row r="16" spans="1:15" s="84" customFormat="1" ht="15.75">
      <c r="A16" s="220" t="s">
        <v>102</v>
      </c>
      <c r="B16" s="34">
        <f t="shared" si="4"/>
        <v>300880</v>
      </c>
      <c r="C16" s="34">
        <f>179880-9000</f>
        <v>170880</v>
      </c>
      <c r="D16" s="34">
        <f aca="true" t="shared" si="6" ref="D16:D25">SUM(E16:N16)</f>
        <v>130000</v>
      </c>
      <c r="E16" s="34">
        <f>'PL 3'!E72</f>
        <v>14000</v>
      </c>
      <c r="F16" s="34">
        <f>'PL 3'!F72</f>
        <v>13600</v>
      </c>
      <c r="G16" s="34">
        <f>'PL 3'!G72</f>
        <v>12000</v>
      </c>
      <c r="H16" s="34">
        <f>'PL 3'!H72</f>
        <v>14000</v>
      </c>
      <c r="I16" s="34">
        <f>'PL 3'!I72</f>
        <v>13900</v>
      </c>
      <c r="J16" s="34">
        <f>'PL 3'!J72</f>
        <v>10500</v>
      </c>
      <c r="K16" s="34">
        <f>'PL 3'!K72</f>
        <v>14800</v>
      </c>
      <c r="L16" s="34">
        <f>'PL 3'!L72</f>
        <v>11000</v>
      </c>
      <c r="M16" s="34">
        <f>'PL 3'!M72</f>
        <v>10700</v>
      </c>
      <c r="N16" s="34">
        <f>'PL 3'!N72</f>
        <v>15500</v>
      </c>
      <c r="O16" s="83"/>
    </row>
    <row r="17" spans="1:15" s="84" customFormat="1" ht="15.75">
      <c r="A17" s="220" t="s">
        <v>95</v>
      </c>
      <c r="B17" s="34">
        <f t="shared" si="4"/>
        <v>200000</v>
      </c>
      <c r="C17" s="34">
        <v>200000</v>
      </c>
      <c r="D17" s="34">
        <f t="shared" si="6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83"/>
    </row>
    <row r="18" spans="1:15" s="84" customFormat="1" ht="15.75">
      <c r="A18" s="220" t="s">
        <v>48</v>
      </c>
      <c r="B18" s="34">
        <f>C18+D18</f>
        <v>357050</v>
      </c>
      <c r="C18" s="34">
        <v>357050</v>
      </c>
      <c r="D18" s="34">
        <f t="shared" si="6"/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83"/>
    </row>
    <row r="19" spans="1:15" s="84" customFormat="1" ht="15.75">
      <c r="A19" s="220" t="s">
        <v>49</v>
      </c>
      <c r="B19" s="34">
        <f t="shared" si="4"/>
        <v>504050</v>
      </c>
      <c r="C19" s="34">
        <v>378000</v>
      </c>
      <c r="D19" s="34">
        <f t="shared" si="6"/>
        <v>126050</v>
      </c>
      <c r="E19" s="34">
        <v>46395</v>
      </c>
      <c r="F19" s="34">
        <v>7200</v>
      </c>
      <c r="G19" s="34">
        <v>6000</v>
      </c>
      <c r="H19" s="34">
        <v>11215</v>
      </c>
      <c r="I19" s="34">
        <v>9000</v>
      </c>
      <c r="J19" s="34">
        <f>'PL 3'!J49*60/100</f>
        <v>2400</v>
      </c>
      <c r="K19" s="34">
        <v>19800</v>
      </c>
      <c r="L19" s="34">
        <v>12040</v>
      </c>
      <c r="M19" s="34">
        <v>6000</v>
      </c>
      <c r="N19" s="34">
        <v>6000</v>
      </c>
      <c r="O19" s="83"/>
    </row>
    <row r="20" spans="1:15" s="84" customFormat="1" ht="15.75">
      <c r="A20" s="220" t="s">
        <v>103</v>
      </c>
      <c r="B20" s="34">
        <f t="shared" si="4"/>
        <v>15910</v>
      </c>
      <c r="C20" s="34">
        <v>15910</v>
      </c>
      <c r="D20" s="34">
        <f>SUM(E20:N20)</f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83"/>
    </row>
    <row r="21" spans="1:15" s="84" customFormat="1" ht="15.75">
      <c r="A21" s="220" t="s">
        <v>104</v>
      </c>
      <c r="B21" s="34">
        <f t="shared" si="4"/>
        <v>75000</v>
      </c>
      <c r="C21" s="34">
        <v>75000</v>
      </c>
      <c r="D21" s="34">
        <f>SUM(E21:N21)</f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83"/>
    </row>
    <row r="22" spans="1:15" s="84" customFormat="1" ht="15.75">
      <c r="A22" s="220" t="s">
        <v>105</v>
      </c>
      <c r="B22" s="34">
        <f t="shared" si="4"/>
        <v>90234</v>
      </c>
      <c r="C22" s="34">
        <v>90234</v>
      </c>
      <c r="D22" s="34">
        <f>SUM(E22:N22)</f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83"/>
    </row>
    <row r="23" spans="1:15" s="84" customFormat="1" ht="15.75">
      <c r="A23" s="220" t="s">
        <v>119</v>
      </c>
      <c r="B23" s="34">
        <f t="shared" si="4"/>
        <v>150000</v>
      </c>
      <c r="C23" s="34">
        <v>150000</v>
      </c>
      <c r="D23" s="34">
        <f>SUM(E23:N23)</f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83"/>
    </row>
    <row r="24" spans="1:15" s="84" customFormat="1" ht="15.75">
      <c r="A24" s="81" t="s">
        <v>50</v>
      </c>
      <c r="B24" s="85">
        <f t="shared" si="4"/>
        <v>30000</v>
      </c>
      <c r="C24" s="34">
        <v>30000</v>
      </c>
      <c r="D24" s="34">
        <f t="shared" si="6"/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83"/>
    </row>
    <row r="25" spans="1:15" s="82" customFormat="1" ht="15.75">
      <c r="A25" s="86" t="s">
        <v>51</v>
      </c>
      <c r="B25" s="85">
        <f t="shared" si="4"/>
        <v>2500</v>
      </c>
      <c r="C25" s="87">
        <v>2500</v>
      </c>
      <c r="D25" s="34">
        <f t="shared" si="6"/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76"/>
    </row>
    <row r="26" spans="1:15" ht="20.25" customHeight="1">
      <c r="A26" s="79" t="s">
        <v>52</v>
      </c>
      <c r="B26" s="80">
        <f t="shared" si="4"/>
        <v>3133111</v>
      </c>
      <c r="C26" s="80">
        <f>C27+C28+C34+SUM(C38:C44)+C45+C48</f>
        <v>929111</v>
      </c>
      <c r="D26" s="80">
        <f>D27+D28+D34+D38+SUM(D40:D44)+D45+D48</f>
        <v>2204000</v>
      </c>
      <c r="E26" s="80">
        <f>E27+E28+E34+E38+SUM(E40:E44)+E45+E48</f>
        <v>230801</v>
      </c>
      <c r="F26" s="80">
        <f aca="true" t="shared" si="7" ref="F26:N26">F27+F28+F34+F38+SUM(F40:F44)+F45+F48</f>
        <v>137472</v>
      </c>
      <c r="G26" s="80">
        <f t="shared" si="7"/>
        <v>150660</v>
      </c>
      <c r="H26" s="80">
        <f t="shared" si="7"/>
        <v>245071</v>
      </c>
      <c r="I26" s="80">
        <f t="shared" si="7"/>
        <v>260150</v>
      </c>
      <c r="J26" s="80">
        <f t="shared" si="7"/>
        <v>142111</v>
      </c>
      <c r="K26" s="80">
        <f t="shared" si="7"/>
        <v>293134</v>
      </c>
      <c r="L26" s="80">
        <f t="shared" si="7"/>
        <v>160127</v>
      </c>
      <c r="M26" s="80">
        <f t="shared" si="7"/>
        <v>226016</v>
      </c>
      <c r="N26" s="80">
        <f t="shared" si="7"/>
        <v>358458</v>
      </c>
      <c r="O26" s="76"/>
    </row>
    <row r="27" spans="1:15" s="89" customFormat="1" ht="15.75">
      <c r="A27" s="100" t="s">
        <v>53</v>
      </c>
      <c r="B27" s="34">
        <f t="shared" si="4"/>
        <v>16371</v>
      </c>
      <c r="C27" s="34">
        <v>5631</v>
      </c>
      <c r="D27" s="34">
        <f aca="true" t="shared" si="8" ref="D27:D48">SUM(E27:N27)</f>
        <v>10740</v>
      </c>
      <c r="E27" s="34">
        <v>867</v>
      </c>
      <c r="F27" s="34">
        <v>820</v>
      </c>
      <c r="G27" s="34">
        <v>487</v>
      </c>
      <c r="H27" s="34">
        <v>893</v>
      </c>
      <c r="I27" s="34">
        <v>1551</v>
      </c>
      <c r="J27" s="34">
        <v>717</v>
      </c>
      <c r="K27" s="34">
        <v>1828</v>
      </c>
      <c r="L27" s="34">
        <v>962</v>
      </c>
      <c r="M27" s="34">
        <v>979</v>
      </c>
      <c r="N27" s="34">
        <v>1636</v>
      </c>
      <c r="O27" s="88"/>
    </row>
    <row r="28" spans="1:14" s="76" customFormat="1" ht="15.75">
      <c r="A28" s="90" t="s">
        <v>54</v>
      </c>
      <c r="B28" s="34">
        <f t="shared" si="4"/>
        <v>360087</v>
      </c>
      <c r="C28" s="34">
        <f>SUM(C29:C33)</f>
        <v>166637</v>
      </c>
      <c r="D28" s="34">
        <f t="shared" si="8"/>
        <v>193450</v>
      </c>
      <c r="E28" s="34">
        <f>SUM(E29:E33)</f>
        <v>38068</v>
      </c>
      <c r="F28" s="34">
        <f aca="true" t="shared" si="9" ref="F28:N28">SUM(F29:F33)</f>
        <v>11448</v>
      </c>
      <c r="G28" s="34">
        <f t="shared" si="9"/>
        <v>21551</v>
      </c>
      <c r="H28" s="34">
        <f t="shared" si="9"/>
        <v>15639</v>
      </c>
      <c r="I28" s="34">
        <f t="shared" si="9"/>
        <v>16709</v>
      </c>
      <c r="J28" s="34">
        <f t="shared" si="9"/>
        <v>12858</v>
      </c>
      <c r="K28" s="34">
        <f t="shared" si="9"/>
        <v>18108</v>
      </c>
      <c r="L28" s="34">
        <f t="shared" si="9"/>
        <v>14357</v>
      </c>
      <c r="M28" s="34">
        <f t="shared" si="9"/>
        <v>16701</v>
      </c>
      <c r="N28" s="34">
        <f t="shared" si="9"/>
        <v>28011</v>
      </c>
    </row>
    <row r="29" spans="1:15" s="92" customFormat="1" ht="15.75">
      <c r="A29" s="221" t="s">
        <v>55</v>
      </c>
      <c r="B29" s="34">
        <f t="shared" si="4"/>
        <v>63697</v>
      </c>
      <c r="C29" s="34">
        <f>8060+39785</f>
        <v>47845</v>
      </c>
      <c r="D29" s="33">
        <f t="shared" si="8"/>
        <v>15852</v>
      </c>
      <c r="E29" s="33">
        <f>200-6</f>
        <v>194</v>
      </c>
      <c r="F29" s="33">
        <f>300-8</f>
        <v>292</v>
      </c>
      <c r="G29" s="33">
        <f>300-9</f>
        <v>291</v>
      </c>
      <c r="H29" s="33">
        <f>2625-73</f>
        <v>2552</v>
      </c>
      <c r="I29" s="33">
        <f>2993-84</f>
        <v>2909</v>
      </c>
      <c r="J29" s="33">
        <f>1560-44</f>
        <v>1516</v>
      </c>
      <c r="K29" s="33">
        <f>3130-87</f>
        <v>3043</v>
      </c>
      <c r="L29" s="33">
        <f>500-14</f>
        <v>486</v>
      </c>
      <c r="M29" s="34">
        <f>1200-33</f>
        <v>1167</v>
      </c>
      <c r="N29" s="33">
        <f>3500-98</f>
        <v>3402</v>
      </c>
      <c r="O29" s="91"/>
    </row>
    <row r="30" spans="1:14" s="93" customFormat="1" ht="15.75">
      <c r="A30" s="221" t="s">
        <v>56</v>
      </c>
      <c r="B30" s="34">
        <f t="shared" si="4"/>
        <v>44037</v>
      </c>
      <c r="C30" s="34">
        <v>13142</v>
      </c>
      <c r="D30" s="33">
        <f t="shared" si="8"/>
        <v>30895</v>
      </c>
      <c r="E30" s="33">
        <f>5000-140</f>
        <v>4860</v>
      </c>
      <c r="F30" s="33">
        <f>3000-500-70</f>
        <v>2430</v>
      </c>
      <c r="G30" s="33">
        <f>3000-500-70</f>
        <v>2430</v>
      </c>
      <c r="H30" s="33">
        <f>3500-500-84</f>
        <v>2916</v>
      </c>
      <c r="I30" s="33">
        <f>3500-500-84</f>
        <v>2916</v>
      </c>
      <c r="J30" s="33">
        <f>2500-500-56</f>
        <v>1944</v>
      </c>
      <c r="K30" s="33">
        <f>4500-500-113</f>
        <v>3887</v>
      </c>
      <c r="L30" s="33">
        <f>1500-500-28</f>
        <v>972</v>
      </c>
      <c r="M30" s="34">
        <f>3500-500-84</f>
        <v>2916</v>
      </c>
      <c r="N30" s="33">
        <f>3200-500-76+3000</f>
        <v>5624</v>
      </c>
    </row>
    <row r="31" spans="1:15" s="95" customFormat="1" ht="15.75">
      <c r="A31" s="221" t="s">
        <v>86</v>
      </c>
      <c r="B31" s="33">
        <f t="shared" si="4"/>
        <v>30640</v>
      </c>
      <c r="C31" s="34">
        <f>32105-10665</f>
        <v>21440</v>
      </c>
      <c r="D31" s="33">
        <f t="shared" si="8"/>
        <v>9200</v>
      </c>
      <c r="E31" s="33">
        <v>3200</v>
      </c>
      <c r="F31" s="33">
        <v>600</v>
      </c>
      <c r="G31" s="33">
        <v>600</v>
      </c>
      <c r="H31" s="33">
        <v>600</v>
      </c>
      <c r="I31" s="33">
        <v>600</v>
      </c>
      <c r="J31" s="33">
        <v>600</v>
      </c>
      <c r="K31" s="33">
        <v>600</v>
      </c>
      <c r="L31" s="33">
        <v>1200</v>
      </c>
      <c r="M31" s="34">
        <v>600</v>
      </c>
      <c r="N31" s="33">
        <v>600</v>
      </c>
      <c r="O31" s="94"/>
    </row>
    <row r="32" spans="1:15" s="95" customFormat="1" ht="15.75">
      <c r="A32" s="221" t="s">
        <v>87</v>
      </c>
      <c r="B32" s="33">
        <f t="shared" si="4"/>
        <v>16500</v>
      </c>
      <c r="C32" s="34">
        <v>16500</v>
      </c>
      <c r="D32" s="33">
        <f t="shared" si="8"/>
        <v>0</v>
      </c>
      <c r="E32" s="33"/>
      <c r="F32" s="33"/>
      <c r="G32" s="33"/>
      <c r="H32" s="33"/>
      <c r="I32" s="33"/>
      <c r="J32" s="33"/>
      <c r="K32" s="33"/>
      <c r="L32" s="33"/>
      <c r="M32" s="34"/>
      <c r="N32" s="33"/>
      <c r="O32" s="96"/>
    </row>
    <row r="33" spans="1:15" s="95" customFormat="1" ht="15.75">
      <c r="A33" s="221" t="s">
        <v>88</v>
      </c>
      <c r="B33" s="33">
        <f t="shared" si="4"/>
        <v>205213</v>
      </c>
      <c r="C33" s="34">
        <f>15154+52556</f>
        <v>67710</v>
      </c>
      <c r="D33" s="33">
        <f t="shared" si="8"/>
        <v>137503</v>
      </c>
      <c r="E33" s="33">
        <f>18273+1000+757+3500+924+1248+4112</f>
        <v>29814</v>
      </c>
      <c r="F33" s="33">
        <f>7861+113+152</f>
        <v>8126</v>
      </c>
      <c r="G33" s="33">
        <f>12589+5000+273+368</f>
        <v>18230</v>
      </c>
      <c r="H33" s="33">
        <f>8724+335+512</f>
        <v>9571</v>
      </c>
      <c r="I33" s="33">
        <f>8157+1500+267+360</f>
        <v>10284</v>
      </c>
      <c r="J33" s="33">
        <f>5798+3000</f>
        <v>8798</v>
      </c>
      <c r="K33" s="33">
        <f>9742+356+480</f>
        <v>10578</v>
      </c>
      <c r="L33" s="33">
        <f>6699+2000+3000</f>
        <v>11699</v>
      </c>
      <c r="M33" s="34">
        <f>8833+3000+73+112</f>
        <v>12018</v>
      </c>
      <c r="N33" s="33">
        <f>15204+3000+77+104</f>
        <v>18385</v>
      </c>
      <c r="O33" s="96"/>
    </row>
    <row r="34" spans="1:14" s="97" customFormat="1" ht="15.75">
      <c r="A34" s="90" t="s">
        <v>57</v>
      </c>
      <c r="B34" s="33">
        <f t="shared" si="4"/>
        <v>1446167</v>
      </c>
      <c r="C34" s="34">
        <f>C35+C36+C37</f>
        <v>316449</v>
      </c>
      <c r="D34" s="33">
        <f t="shared" si="8"/>
        <v>1129718</v>
      </c>
      <c r="E34" s="33">
        <f aca="true" t="shared" si="10" ref="E34:N34">E35+E36+E37</f>
        <v>101851</v>
      </c>
      <c r="F34" s="33">
        <f t="shared" si="10"/>
        <v>71487</v>
      </c>
      <c r="G34" s="33">
        <f t="shared" si="10"/>
        <v>63525</v>
      </c>
      <c r="H34" s="33">
        <f t="shared" si="10"/>
        <v>125337</v>
      </c>
      <c r="I34" s="33">
        <f t="shared" si="10"/>
        <v>132352</v>
      </c>
      <c r="J34" s="33">
        <f t="shared" si="10"/>
        <v>60823</v>
      </c>
      <c r="K34" s="33">
        <f t="shared" si="10"/>
        <v>177521</v>
      </c>
      <c r="L34" s="33">
        <f t="shared" si="10"/>
        <v>72365</v>
      </c>
      <c r="M34" s="34">
        <f t="shared" si="10"/>
        <v>121667</v>
      </c>
      <c r="N34" s="33">
        <f t="shared" si="10"/>
        <v>202790</v>
      </c>
    </row>
    <row r="35" spans="1:14" s="97" customFormat="1" ht="15.75">
      <c r="A35" s="221" t="s">
        <v>58</v>
      </c>
      <c r="B35" s="33">
        <f t="shared" si="4"/>
        <v>1000331</v>
      </c>
      <c r="C35" s="34">
        <f>192880+24920+2330+4745</f>
        <v>224875</v>
      </c>
      <c r="D35" s="33">
        <f t="shared" si="8"/>
        <v>775456</v>
      </c>
      <c r="E35" s="33">
        <f>72283+1000+243+1500+1000+923</f>
        <v>76949</v>
      </c>
      <c r="F35" s="33">
        <f>42669+6000+585+1500+3000+4222</f>
        <v>57976</v>
      </c>
      <c r="G35" s="33">
        <f>39072+4000-861+3500+1000</f>
        <v>46711</v>
      </c>
      <c r="H35" s="33">
        <f>80958+3000+3500+997</f>
        <v>88455</v>
      </c>
      <c r="I35" s="33">
        <f>79956-1599+1500+4696+3000+5000</f>
        <v>92553</v>
      </c>
      <c r="J35" s="33">
        <f>38465-769+1000-486+1336</f>
        <v>39546</v>
      </c>
      <c r="K35" s="33">
        <f>105098+6000+1000+2000</f>
        <v>114098</v>
      </c>
      <c r="L35" s="33">
        <f>45731-915+1400+5000+2000+1394</f>
        <v>54610</v>
      </c>
      <c r="M35" s="34">
        <f>70524-1410+3000-1200+2000+671</f>
        <v>73585</v>
      </c>
      <c r="N35" s="33">
        <f>118473+5500+5000+2000</f>
        <v>130973</v>
      </c>
    </row>
    <row r="36" spans="1:15" s="93" customFormat="1" ht="15.75">
      <c r="A36" s="221" t="s">
        <v>59</v>
      </c>
      <c r="B36" s="33">
        <f t="shared" si="4"/>
        <v>84018</v>
      </c>
      <c r="C36" s="34">
        <f>52173+500+400</f>
        <v>53073</v>
      </c>
      <c r="D36" s="33">
        <f t="shared" si="8"/>
        <v>30945</v>
      </c>
      <c r="E36" s="33">
        <v>3117</v>
      </c>
      <c r="F36" s="33">
        <f>1953-54</f>
        <v>1899</v>
      </c>
      <c r="G36" s="33">
        <f>1419+500-54</f>
        <v>1865</v>
      </c>
      <c r="H36" s="33">
        <f>3184-88</f>
        <v>3096</v>
      </c>
      <c r="I36" s="33">
        <f>4019-112</f>
        <v>3907</v>
      </c>
      <c r="J36" s="33">
        <f>1706-47</f>
        <v>1659</v>
      </c>
      <c r="K36" s="33">
        <f>4336-121</f>
        <v>4215</v>
      </c>
      <c r="L36" s="33">
        <f>2548-71</f>
        <v>2477</v>
      </c>
      <c r="M36" s="34">
        <f>3688-103</f>
        <v>3585</v>
      </c>
      <c r="N36" s="33">
        <f>4758-133+500</f>
        <v>5125</v>
      </c>
      <c r="O36" s="98"/>
    </row>
    <row r="37" spans="1:15" s="97" customFormat="1" ht="15.75">
      <c r="A37" s="222" t="s">
        <v>98</v>
      </c>
      <c r="B37" s="33">
        <f t="shared" si="4"/>
        <v>361818</v>
      </c>
      <c r="C37" s="34">
        <v>38501</v>
      </c>
      <c r="D37" s="34">
        <f t="shared" si="8"/>
        <v>323317</v>
      </c>
      <c r="E37" s="34">
        <v>21785</v>
      </c>
      <c r="F37" s="34">
        <f>3241+4376+2221+3332-1558</f>
        <v>11612</v>
      </c>
      <c r="G37" s="34">
        <v>14949</v>
      </c>
      <c r="H37" s="34">
        <f>7273+11128+3184+4776+970+1455+5000</f>
        <v>33786</v>
      </c>
      <c r="I37" s="34">
        <v>35892</v>
      </c>
      <c r="J37" s="34">
        <f>2921+3944+1538+2307+3563+5345</f>
        <v>19618</v>
      </c>
      <c r="K37" s="34">
        <v>59208</v>
      </c>
      <c r="L37" s="34">
        <f>3893+5256+2566+3849-286</f>
        <v>15278</v>
      </c>
      <c r="M37" s="34">
        <v>44497</v>
      </c>
      <c r="N37" s="34">
        <v>66692</v>
      </c>
      <c r="O37" s="99"/>
    </row>
    <row r="38" spans="1:15" s="102" customFormat="1" ht="15.75">
      <c r="A38" s="100" t="s">
        <v>60</v>
      </c>
      <c r="B38" s="34">
        <f t="shared" si="4"/>
        <v>275027</v>
      </c>
      <c r="C38" s="34">
        <v>84295</v>
      </c>
      <c r="D38" s="34">
        <f t="shared" si="8"/>
        <v>190732</v>
      </c>
      <c r="E38" s="34">
        <f>13815+486+656+330+1002</f>
        <v>16289</v>
      </c>
      <c r="F38" s="34">
        <f>12465+705+952+449+1363</f>
        <v>15934</v>
      </c>
      <c r="G38" s="34">
        <f>11781+5000+764+1032+449+1363</f>
        <v>20389</v>
      </c>
      <c r="H38" s="34">
        <f>13123+1051+1608+209+314+369+1120</f>
        <v>17794</v>
      </c>
      <c r="I38" s="34">
        <f>15634+770+1040+360+1078</f>
        <v>18882</v>
      </c>
      <c r="J38" s="34">
        <f>10864+468+632+464+696+350+1063</f>
        <v>14537</v>
      </c>
      <c r="K38" s="34">
        <f>19361+984+1328+479+719+634+1925</f>
        <v>25430</v>
      </c>
      <c r="L38" s="34">
        <f>11907+3000+699+944+323+981</f>
        <v>17854</v>
      </c>
      <c r="M38" s="34">
        <f>13907+580+888+159+483+159+483</f>
        <v>16659</v>
      </c>
      <c r="N38" s="34">
        <f>23837+604+816+423+1284</f>
        <v>26964</v>
      </c>
      <c r="O38" s="101"/>
    </row>
    <row r="39" spans="1:15" s="104" customFormat="1" ht="15.75">
      <c r="A39" s="100" t="s">
        <v>89</v>
      </c>
      <c r="B39" s="34">
        <f t="shared" si="4"/>
        <v>42587</v>
      </c>
      <c r="C39" s="34">
        <v>0</v>
      </c>
      <c r="D39" s="34">
        <f t="shared" si="8"/>
        <v>42587</v>
      </c>
      <c r="E39" s="34">
        <v>4328</v>
      </c>
      <c r="F39" s="34">
        <v>3015</v>
      </c>
      <c r="G39" s="34">
        <v>2836</v>
      </c>
      <c r="H39" s="34">
        <v>4245</v>
      </c>
      <c r="I39" s="34">
        <f>4156-304</f>
        <v>3852</v>
      </c>
      <c r="J39" s="34">
        <v>2186</v>
      </c>
      <c r="K39" s="34">
        <v>7071</v>
      </c>
      <c r="L39" s="34">
        <f>4328-1100</f>
        <v>3228</v>
      </c>
      <c r="M39" s="34">
        <v>3938</v>
      </c>
      <c r="N39" s="34">
        <v>7888</v>
      </c>
      <c r="O39" s="103"/>
    </row>
    <row r="40" spans="1:15" s="105" customFormat="1" ht="15.75">
      <c r="A40" s="100" t="s">
        <v>66</v>
      </c>
      <c r="B40" s="34">
        <f t="shared" si="4"/>
        <v>19087</v>
      </c>
      <c r="C40" s="34">
        <f>15160+927</f>
        <v>16087</v>
      </c>
      <c r="D40" s="34">
        <f t="shared" si="8"/>
        <v>3000</v>
      </c>
      <c r="E40" s="34">
        <v>300</v>
      </c>
      <c r="F40" s="34">
        <v>300</v>
      </c>
      <c r="G40" s="34">
        <v>300</v>
      </c>
      <c r="H40" s="34">
        <f>300</f>
        <v>300</v>
      </c>
      <c r="I40" s="34">
        <v>300</v>
      </c>
      <c r="J40" s="34">
        <v>300</v>
      </c>
      <c r="K40" s="34">
        <v>300</v>
      </c>
      <c r="L40" s="34">
        <v>300</v>
      </c>
      <c r="M40" s="34">
        <v>300</v>
      </c>
      <c r="N40" s="34">
        <v>300</v>
      </c>
      <c r="O40" s="91"/>
    </row>
    <row r="41" spans="1:15" s="92" customFormat="1" ht="15.75">
      <c r="A41" s="100" t="s">
        <v>120</v>
      </c>
      <c r="B41" s="34">
        <f t="shared" si="4"/>
        <v>57773</v>
      </c>
      <c r="C41" s="34">
        <v>33327</v>
      </c>
      <c r="D41" s="34">
        <f t="shared" si="8"/>
        <v>24446</v>
      </c>
      <c r="E41" s="34">
        <f>3202+65+88</f>
        <v>3355</v>
      </c>
      <c r="F41" s="34">
        <f>1543+30+40</f>
        <v>1613</v>
      </c>
      <c r="G41" s="34">
        <f>2393+41+56</f>
        <v>2490</v>
      </c>
      <c r="H41" s="34">
        <f>2569+26+40</f>
        <v>2635</v>
      </c>
      <c r="I41" s="34">
        <v>2721</v>
      </c>
      <c r="J41" s="34">
        <f>1111+24+32</f>
        <v>1167</v>
      </c>
      <c r="K41" s="34">
        <f>2608+30+40</f>
        <v>2678</v>
      </c>
      <c r="L41" s="34">
        <f>1928+36+48</f>
        <v>2012</v>
      </c>
      <c r="M41" s="34">
        <f>2436+42+64</f>
        <v>2542</v>
      </c>
      <c r="N41" s="34">
        <f>3163+30+40</f>
        <v>3233</v>
      </c>
      <c r="O41" s="91"/>
    </row>
    <row r="42" spans="1:15" s="92" customFormat="1" ht="15.75">
      <c r="A42" s="100" t="s">
        <v>61</v>
      </c>
      <c r="B42" s="34">
        <f t="shared" si="4"/>
        <v>20907</v>
      </c>
      <c r="C42" s="34">
        <v>16000</v>
      </c>
      <c r="D42" s="34">
        <f t="shared" si="8"/>
        <v>4907</v>
      </c>
      <c r="E42" s="34">
        <f>337+24+32</f>
        <v>393</v>
      </c>
      <c r="F42" s="34">
        <f>720+18+24</f>
        <v>762</v>
      </c>
      <c r="G42" s="34">
        <f>877+18+24</f>
        <v>919</v>
      </c>
      <c r="H42" s="34">
        <f>31+48</f>
        <v>79</v>
      </c>
      <c r="I42" s="34">
        <f>453-13+18+24</f>
        <v>482</v>
      </c>
      <c r="J42" s="34">
        <f>209-6+18+24</f>
        <v>245</v>
      </c>
      <c r="K42" s="34">
        <f>534-15+30+40</f>
        <v>589</v>
      </c>
      <c r="L42" s="34">
        <f>281-8+18+24</f>
        <v>315</v>
      </c>
      <c r="M42" s="34">
        <f>391-11+26+40</f>
        <v>446</v>
      </c>
      <c r="N42" s="34">
        <f>635+18+24</f>
        <v>677</v>
      </c>
      <c r="O42" s="91"/>
    </row>
    <row r="43" spans="1:15" s="107" customFormat="1" ht="15.75">
      <c r="A43" s="100" t="s">
        <v>76</v>
      </c>
      <c r="B43" s="34">
        <f t="shared" si="4"/>
        <v>76075</v>
      </c>
      <c r="C43" s="34">
        <v>54223</v>
      </c>
      <c r="D43" s="34">
        <f t="shared" si="8"/>
        <v>21852</v>
      </c>
      <c r="E43" s="34">
        <v>2128</v>
      </c>
      <c r="F43" s="34">
        <v>1544</v>
      </c>
      <c r="G43" s="34">
        <v>1300</v>
      </c>
      <c r="H43" s="34">
        <v>2184</v>
      </c>
      <c r="I43" s="34">
        <v>2707</v>
      </c>
      <c r="J43" s="34">
        <v>1379</v>
      </c>
      <c r="K43" s="34">
        <v>3146</v>
      </c>
      <c r="L43" s="34">
        <f>1769</f>
        <v>1769</v>
      </c>
      <c r="M43" s="34">
        <v>2132</v>
      </c>
      <c r="N43" s="34">
        <v>3563</v>
      </c>
      <c r="O43" s="106"/>
    </row>
    <row r="44" spans="1:15" s="92" customFormat="1" ht="15.75">
      <c r="A44" s="100" t="s">
        <v>77</v>
      </c>
      <c r="B44" s="34">
        <f t="shared" si="4"/>
        <v>729036</v>
      </c>
      <c r="C44" s="34">
        <f>189742+2120</f>
        <v>191862</v>
      </c>
      <c r="D44" s="34">
        <f t="shared" si="8"/>
        <v>537174</v>
      </c>
      <c r="E44" s="34">
        <f>47752+1000-129+1000+1381+1864+593+810+1875+1025+5000-3500</f>
        <v>58671</v>
      </c>
      <c r="F44" s="34">
        <v>28964</v>
      </c>
      <c r="G44" s="34">
        <f>27622+828+883+1000-3684+1001+1352+568+700+1796+886</f>
        <v>32952</v>
      </c>
      <c r="H44" s="34">
        <v>74595</v>
      </c>
      <c r="I44" s="34">
        <v>63755</v>
      </c>
      <c r="J44" s="34">
        <v>42399</v>
      </c>
      <c r="K44" s="34">
        <v>55950</v>
      </c>
      <c r="L44" s="34">
        <v>43860</v>
      </c>
      <c r="M44" s="34">
        <f>42779-1497+1955+3-3348+4403+6736+628+386+1986+488+3000</f>
        <v>57519</v>
      </c>
      <c r="N44" s="34">
        <v>78509</v>
      </c>
      <c r="O44" s="91"/>
    </row>
    <row r="45" spans="1:15" s="109" customFormat="1" ht="15.75">
      <c r="A45" s="100" t="s">
        <v>78</v>
      </c>
      <c r="B45" s="34">
        <f t="shared" si="4"/>
        <v>107819</v>
      </c>
      <c r="C45" s="34">
        <f>C46+C47</f>
        <v>32600</v>
      </c>
      <c r="D45" s="34">
        <f t="shared" si="8"/>
        <v>75219</v>
      </c>
      <c r="E45" s="34">
        <f aca="true" t="shared" si="11" ref="E45:N45">E46+E47</f>
        <v>8009</v>
      </c>
      <c r="F45" s="34">
        <f t="shared" si="11"/>
        <v>4108</v>
      </c>
      <c r="G45" s="34">
        <f t="shared" si="11"/>
        <v>5894</v>
      </c>
      <c r="H45" s="34">
        <f t="shared" si="11"/>
        <v>4668</v>
      </c>
      <c r="I45" s="34">
        <f>I46+I47</f>
        <v>17538</v>
      </c>
      <c r="J45" s="34">
        <f t="shared" si="11"/>
        <v>5341</v>
      </c>
      <c r="K45" s="34">
        <f t="shared" si="11"/>
        <v>6570</v>
      </c>
      <c r="L45" s="34">
        <f t="shared" si="11"/>
        <v>5800</v>
      </c>
      <c r="M45" s="34">
        <f t="shared" si="11"/>
        <v>6310</v>
      </c>
      <c r="N45" s="34">
        <f t="shared" si="11"/>
        <v>10981</v>
      </c>
      <c r="O45" s="108"/>
    </row>
    <row r="46" spans="1:15" s="105" customFormat="1" ht="15.75">
      <c r="A46" s="223" t="s">
        <v>62</v>
      </c>
      <c r="B46" s="34">
        <f t="shared" si="4"/>
        <v>17946</v>
      </c>
      <c r="C46" s="34">
        <f>5000+2000</f>
        <v>7000</v>
      </c>
      <c r="D46" s="34">
        <f t="shared" si="8"/>
        <v>10946</v>
      </c>
      <c r="E46" s="34">
        <v>564</v>
      </c>
      <c r="F46" s="34">
        <v>389</v>
      </c>
      <c r="G46" s="34">
        <f>517+300</f>
        <v>817</v>
      </c>
      <c r="H46" s="34">
        <v>580</v>
      </c>
      <c r="I46" s="34">
        <v>2469</v>
      </c>
      <c r="J46" s="34">
        <v>2608</v>
      </c>
      <c r="K46" s="34">
        <v>868</v>
      </c>
      <c r="L46" s="34">
        <v>457</v>
      </c>
      <c r="M46" s="34">
        <v>636</v>
      </c>
      <c r="N46" s="34">
        <v>1558</v>
      </c>
      <c r="O46" s="110"/>
    </row>
    <row r="47" spans="1:15" s="105" customFormat="1" ht="15.75">
      <c r="A47" s="223" t="s">
        <v>63</v>
      </c>
      <c r="B47" s="34">
        <f t="shared" si="4"/>
        <v>89873</v>
      </c>
      <c r="C47" s="34">
        <f>17000+7000+600+1000</f>
        <v>25600</v>
      </c>
      <c r="D47" s="34">
        <f t="shared" si="8"/>
        <v>64273</v>
      </c>
      <c r="E47" s="34">
        <f>3445+2000+2000</f>
        <v>7445</v>
      </c>
      <c r="F47" s="34">
        <f>1719+1000+1000</f>
        <v>3719</v>
      </c>
      <c r="G47" s="34">
        <f>2179+2000+898</f>
        <v>5077</v>
      </c>
      <c r="H47" s="34">
        <f>2571+1517</f>
        <v>4088</v>
      </c>
      <c r="I47" s="34">
        <f>3669+4800+1100+4000+1500</f>
        <v>15069</v>
      </c>
      <c r="J47" s="34">
        <f>1825+531+377</f>
        <v>2733</v>
      </c>
      <c r="K47" s="34">
        <f>2102+600+2000+1000</f>
        <v>5702</v>
      </c>
      <c r="L47" s="34">
        <f>1343+1000+2000+1000</f>
        <v>5343</v>
      </c>
      <c r="M47" s="34">
        <f>2174+1500+2000</f>
        <v>5674</v>
      </c>
      <c r="N47" s="34">
        <f>5423+3000+1000</f>
        <v>9423</v>
      </c>
      <c r="O47" s="110"/>
    </row>
    <row r="48" spans="1:15" s="92" customFormat="1" ht="15.75">
      <c r="A48" s="100" t="s">
        <v>79</v>
      </c>
      <c r="B48" s="34">
        <f t="shared" si="4"/>
        <v>24762</v>
      </c>
      <c r="C48" s="34">
        <f>5000+7000</f>
        <v>12000</v>
      </c>
      <c r="D48" s="34">
        <f t="shared" si="8"/>
        <v>12762</v>
      </c>
      <c r="E48" s="34">
        <v>870</v>
      </c>
      <c r="F48" s="34">
        <f>506-14</f>
        <v>492</v>
      </c>
      <c r="G48" s="34">
        <f>478+400-25</f>
        <v>853</v>
      </c>
      <c r="H48" s="34">
        <f>860-24+111</f>
        <v>947</v>
      </c>
      <c r="I48" s="34">
        <f>3225-90+18</f>
        <v>3153</v>
      </c>
      <c r="J48" s="34">
        <f>2412-67</f>
        <v>2345</v>
      </c>
      <c r="K48" s="34">
        <f>1043-29</f>
        <v>1014</v>
      </c>
      <c r="L48" s="34">
        <f>548-15</f>
        <v>533</v>
      </c>
      <c r="M48" s="34">
        <f>783-22</f>
        <v>761</v>
      </c>
      <c r="N48" s="34">
        <f>1846-52</f>
        <v>1794</v>
      </c>
      <c r="O48" s="91"/>
    </row>
    <row r="49" spans="1:14" s="91" customFormat="1" ht="15.75">
      <c r="A49" s="79" t="s">
        <v>331</v>
      </c>
      <c r="B49" s="80">
        <f t="shared" si="4"/>
        <v>65451</v>
      </c>
      <c r="C49" s="80">
        <v>65451</v>
      </c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</row>
    <row r="50" spans="1:15" s="105" customFormat="1" ht="31.5">
      <c r="A50" s="111" t="s">
        <v>332</v>
      </c>
      <c r="B50" s="112">
        <f t="shared" si="4"/>
        <v>2000</v>
      </c>
      <c r="C50" s="112">
        <v>2000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91"/>
    </row>
    <row r="51" spans="1:15" s="110" customFormat="1" ht="15.75">
      <c r="A51" s="79" t="s">
        <v>333</v>
      </c>
      <c r="B51" s="80">
        <f t="shared" si="4"/>
        <v>29000</v>
      </c>
      <c r="C51" s="80">
        <v>29000</v>
      </c>
      <c r="D51" s="80">
        <f aca="true" t="shared" si="12" ref="D51:D58">SUM(E51:N51)</f>
        <v>0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91"/>
    </row>
    <row r="52" spans="1:15" s="92" customFormat="1" ht="14.25" customHeight="1">
      <c r="A52" s="79" t="s">
        <v>334</v>
      </c>
      <c r="B52" s="112">
        <f t="shared" si="4"/>
        <v>1000</v>
      </c>
      <c r="C52" s="80">
        <v>1000</v>
      </c>
      <c r="D52" s="113">
        <f t="shared" si="12"/>
        <v>0</v>
      </c>
      <c r="E52" s="114"/>
      <c r="F52" s="114"/>
      <c r="G52" s="114"/>
      <c r="H52" s="114"/>
      <c r="I52" s="114"/>
      <c r="J52" s="114"/>
      <c r="K52" s="114"/>
      <c r="L52" s="114"/>
      <c r="M52" s="80"/>
      <c r="N52" s="114"/>
      <c r="O52" s="91"/>
    </row>
    <row r="53" spans="1:15" s="115" customFormat="1" ht="15.75">
      <c r="A53" s="79" t="s">
        <v>337</v>
      </c>
      <c r="B53" s="112">
        <f t="shared" si="4"/>
        <v>195264</v>
      </c>
      <c r="C53" s="80">
        <v>195264</v>
      </c>
      <c r="D53" s="112">
        <f t="shared" si="12"/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0</v>
      </c>
      <c r="N53" s="80">
        <v>0</v>
      </c>
      <c r="O53" s="76"/>
    </row>
    <row r="54" spans="1:15" s="115" customFormat="1" ht="15.75">
      <c r="A54" s="79" t="s">
        <v>336</v>
      </c>
      <c r="B54" s="112">
        <f t="shared" si="4"/>
        <v>50000</v>
      </c>
      <c r="C54" s="80">
        <v>50000</v>
      </c>
      <c r="D54" s="112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76"/>
    </row>
    <row r="55" spans="1:15" s="115" customFormat="1" ht="15.75">
      <c r="A55" s="79" t="s">
        <v>335</v>
      </c>
      <c r="B55" s="112">
        <f t="shared" si="4"/>
        <v>104334</v>
      </c>
      <c r="C55" s="80">
        <v>0</v>
      </c>
      <c r="D55" s="112">
        <f t="shared" si="12"/>
        <v>104334</v>
      </c>
      <c r="E55" s="80">
        <f>'PL 3'!E80</f>
        <v>18177</v>
      </c>
      <c r="F55" s="80">
        <f>'PL 3'!F80</f>
        <v>4575</v>
      </c>
      <c r="G55" s="80">
        <f>'PL 3'!G80</f>
        <v>13196</v>
      </c>
      <c r="H55" s="80">
        <f>'PL 3'!H80</f>
        <v>8049</v>
      </c>
      <c r="I55" s="80">
        <f>'PL 3'!I80</f>
        <v>1923</v>
      </c>
      <c r="J55" s="80">
        <f>'PL 3'!J80</f>
        <v>2892</v>
      </c>
      <c r="K55" s="80">
        <f>'PL 3'!K80</f>
        <v>5633</v>
      </c>
      <c r="L55" s="80">
        <f>'PL 3'!L80</f>
        <v>15330</v>
      </c>
      <c r="M55" s="80">
        <f>'PL 3'!M80</f>
        <v>15364</v>
      </c>
      <c r="N55" s="80">
        <f>'PL 3'!N80</f>
        <v>19195</v>
      </c>
      <c r="O55" s="76"/>
    </row>
    <row r="56" spans="1:15" s="115" customFormat="1" ht="15.75">
      <c r="A56" s="79" t="s">
        <v>117</v>
      </c>
      <c r="B56" s="80">
        <f t="shared" si="4"/>
        <v>29000</v>
      </c>
      <c r="C56" s="80">
        <v>29000</v>
      </c>
      <c r="D56" s="112">
        <f t="shared" si="12"/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76"/>
    </row>
    <row r="57" spans="1:14" s="76" customFormat="1" ht="15.75">
      <c r="A57" s="79" t="s">
        <v>94</v>
      </c>
      <c r="B57" s="112">
        <f t="shared" si="4"/>
        <v>124528</v>
      </c>
      <c r="C57" s="80">
        <v>57556</v>
      </c>
      <c r="D57" s="112">
        <f t="shared" si="12"/>
        <v>66972</v>
      </c>
      <c r="E57" s="80">
        <v>6974</v>
      </c>
      <c r="F57" s="80">
        <v>4237</v>
      </c>
      <c r="G57" s="80">
        <v>3763</v>
      </c>
      <c r="H57" s="80">
        <v>6099</v>
      </c>
      <c r="I57" s="80">
        <f>6764+5000</f>
        <v>11764</v>
      </c>
      <c r="J57" s="80">
        <v>3585</v>
      </c>
      <c r="K57" s="80">
        <v>7362</v>
      </c>
      <c r="L57" s="80">
        <v>4879</v>
      </c>
      <c r="M57" s="80">
        <v>5745</v>
      </c>
      <c r="N57" s="80">
        <f>8756+1808+2000</f>
        <v>12564</v>
      </c>
    </row>
    <row r="58" spans="1:14" s="76" customFormat="1" ht="15.75">
      <c r="A58" s="79" t="s">
        <v>64</v>
      </c>
      <c r="B58" s="80">
        <f>SUM(B59:B64)</f>
        <v>250000</v>
      </c>
      <c r="C58" s="80">
        <f>SUM(C59:C64)</f>
        <v>133400</v>
      </c>
      <c r="D58" s="113">
        <f t="shared" si="12"/>
        <v>116600</v>
      </c>
      <c r="E58" s="114">
        <f aca="true" t="shared" si="13" ref="E58:N58">SUM(E59:E64)</f>
        <v>8000</v>
      </c>
      <c r="F58" s="114">
        <f t="shared" si="13"/>
        <v>25000</v>
      </c>
      <c r="G58" s="114">
        <f t="shared" si="13"/>
        <v>14900</v>
      </c>
      <c r="H58" s="114">
        <f t="shared" si="13"/>
        <v>8000</v>
      </c>
      <c r="I58" s="114">
        <f t="shared" si="13"/>
        <v>11800</v>
      </c>
      <c r="J58" s="114">
        <f t="shared" si="13"/>
        <v>4400</v>
      </c>
      <c r="K58" s="114">
        <f t="shared" si="13"/>
        <v>16600</v>
      </c>
      <c r="L58" s="114">
        <f t="shared" si="13"/>
        <v>12400</v>
      </c>
      <c r="M58" s="80">
        <f t="shared" si="13"/>
        <v>7500</v>
      </c>
      <c r="N58" s="114">
        <f t="shared" si="13"/>
        <v>8000</v>
      </c>
    </row>
    <row r="59" spans="1:14" s="116" customFormat="1" ht="15.75">
      <c r="A59" s="213" t="s">
        <v>68</v>
      </c>
      <c r="B59" s="34">
        <f aca="true" t="shared" si="14" ref="B59:B64">C59+D59</f>
        <v>0</v>
      </c>
      <c r="C59" s="34">
        <v>0</v>
      </c>
      <c r="D59" s="34">
        <f>'PL 3'!D84</f>
        <v>0</v>
      </c>
      <c r="E59" s="34">
        <f>'PL 3'!E84</f>
        <v>0</v>
      </c>
      <c r="F59" s="34">
        <f>'PL 3'!F84</f>
        <v>0</v>
      </c>
      <c r="G59" s="34">
        <f>'PL 3'!G84</f>
        <v>0</v>
      </c>
      <c r="H59" s="34">
        <f>'PL 3'!H84</f>
        <v>0</v>
      </c>
      <c r="I59" s="34">
        <f>'PL 3'!I84</f>
        <v>0</v>
      </c>
      <c r="J59" s="34">
        <f>'PL 3'!J84</f>
        <v>0</v>
      </c>
      <c r="K59" s="34">
        <f>'PL 3'!K84</f>
        <v>0</v>
      </c>
      <c r="L59" s="34">
        <f>'PL 3'!L84</f>
        <v>0</v>
      </c>
      <c r="M59" s="34">
        <f>'PL 3'!M84</f>
        <v>0</v>
      </c>
      <c r="N59" s="34">
        <f>'PL 3'!N84</f>
        <v>0</v>
      </c>
    </row>
    <row r="60" spans="1:14" s="116" customFormat="1" ht="15.75">
      <c r="A60" s="213" t="s">
        <v>69</v>
      </c>
      <c r="B60" s="34">
        <f t="shared" si="14"/>
        <v>28740</v>
      </c>
      <c r="C60" s="34">
        <f>'PL 3'!C85</f>
        <v>15500</v>
      </c>
      <c r="D60" s="34">
        <f>'PL 3'!D85</f>
        <v>13240</v>
      </c>
      <c r="E60" s="34">
        <f>'PL 3'!E85</f>
        <v>2400</v>
      </c>
      <c r="F60" s="34">
        <f>'PL 3'!F85</f>
        <v>1650</v>
      </c>
      <c r="G60" s="34">
        <f>'PL 3'!G85</f>
        <v>1550</v>
      </c>
      <c r="H60" s="34">
        <f>'PL 3'!H85</f>
        <v>1700</v>
      </c>
      <c r="I60" s="34">
        <f>'PL 3'!I85</f>
        <v>1200</v>
      </c>
      <c r="J60" s="34">
        <f>'PL 3'!J85</f>
        <v>180</v>
      </c>
      <c r="K60" s="34">
        <f>'PL 3'!K85</f>
        <v>1930</v>
      </c>
      <c r="L60" s="34">
        <f>'PL 3'!L85</f>
        <v>430</v>
      </c>
      <c r="M60" s="34">
        <f>'PL 3'!M85</f>
        <v>850</v>
      </c>
      <c r="N60" s="34">
        <f>'PL 3'!N85</f>
        <v>1350</v>
      </c>
    </row>
    <row r="61" spans="1:14" s="116" customFormat="1" ht="15.75">
      <c r="A61" s="213" t="s">
        <v>70</v>
      </c>
      <c r="B61" s="34">
        <f t="shared" si="14"/>
        <v>134050</v>
      </c>
      <c r="C61" s="34">
        <f>'PL 3'!C86</f>
        <v>84500</v>
      </c>
      <c r="D61" s="34">
        <f>'PL 3'!D86</f>
        <v>49550</v>
      </c>
      <c r="E61" s="34">
        <f>'PL 3'!E86</f>
        <v>1650</v>
      </c>
      <c r="F61" s="34">
        <f>'PL 3'!F86</f>
        <v>12000</v>
      </c>
      <c r="G61" s="34">
        <f>'PL 3'!G86</f>
        <v>8900</v>
      </c>
      <c r="H61" s="34">
        <f>'PL 3'!H86</f>
        <v>800</v>
      </c>
      <c r="I61" s="34">
        <f>'PL 3'!I86</f>
        <v>6500</v>
      </c>
      <c r="J61" s="34">
        <f>'PL 3'!J86</f>
        <v>2300</v>
      </c>
      <c r="K61" s="34">
        <f>'PL 3'!K86</f>
        <v>9850</v>
      </c>
      <c r="L61" s="34">
        <f>'PL 3'!L86</f>
        <v>6900</v>
      </c>
      <c r="M61" s="34">
        <f>'PL 3'!M86</f>
        <v>650</v>
      </c>
      <c r="N61" s="34">
        <f>'PL 3'!N86</f>
        <v>0</v>
      </c>
    </row>
    <row r="62" spans="1:14" s="116" customFormat="1" ht="15.75">
      <c r="A62" s="213" t="s">
        <v>43</v>
      </c>
      <c r="B62" s="34">
        <f t="shared" si="14"/>
        <v>11700</v>
      </c>
      <c r="C62" s="34">
        <f>'PL 3'!C87</f>
        <v>0</v>
      </c>
      <c r="D62" s="34">
        <f>'PL 3'!D87</f>
        <v>11700</v>
      </c>
      <c r="E62" s="34">
        <f>'PL 3'!E87</f>
        <v>1400</v>
      </c>
      <c r="F62" s="34">
        <f>'PL 3'!F87</f>
        <v>1500</v>
      </c>
      <c r="G62" s="34">
        <f>'PL 3'!G87</f>
        <v>750</v>
      </c>
      <c r="H62" s="34">
        <f>'PL 3'!H87</f>
        <v>400</v>
      </c>
      <c r="I62" s="34">
        <f>'PL 3'!I87</f>
        <v>600</v>
      </c>
      <c r="J62" s="34">
        <f>'PL 3'!J87</f>
        <v>200</v>
      </c>
      <c r="K62" s="34">
        <f>'PL 3'!K87</f>
        <v>1450</v>
      </c>
      <c r="L62" s="34">
        <f>'PL 3'!L87</f>
        <v>1300</v>
      </c>
      <c r="M62" s="34">
        <f>'PL 3'!M87</f>
        <v>1500</v>
      </c>
      <c r="N62" s="34">
        <f>'PL 3'!N87</f>
        <v>2600</v>
      </c>
    </row>
    <row r="63" spans="1:15" s="117" customFormat="1" ht="15.75">
      <c r="A63" s="213" t="s">
        <v>71</v>
      </c>
      <c r="B63" s="34">
        <f t="shared" si="14"/>
        <v>11170</v>
      </c>
      <c r="C63" s="34">
        <f>'PL 3'!C88</f>
        <v>2300</v>
      </c>
      <c r="D63" s="34">
        <f>'PL 3'!D88</f>
        <v>8870</v>
      </c>
      <c r="E63" s="34">
        <f>'PL 3'!E88</f>
        <v>1650</v>
      </c>
      <c r="F63" s="34">
        <f>'PL 3'!F88</f>
        <v>750</v>
      </c>
      <c r="G63" s="34">
        <f>'PL 3'!G88</f>
        <v>2000</v>
      </c>
      <c r="H63" s="34">
        <f>'PL 3'!H88</f>
        <v>300</v>
      </c>
      <c r="I63" s="34">
        <f>'PL 3'!I88</f>
        <v>350</v>
      </c>
      <c r="J63" s="34">
        <f>'PL 3'!J88</f>
        <v>600</v>
      </c>
      <c r="K63" s="34">
        <f>'PL 3'!K88</f>
        <v>1370</v>
      </c>
      <c r="L63" s="34">
        <f>'PL 3'!L88</f>
        <v>300</v>
      </c>
      <c r="M63" s="34">
        <f>'PL 3'!M88</f>
        <v>200</v>
      </c>
      <c r="N63" s="34">
        <f>'PL 3'!N88</f>
        <v>1350</v>
      </c>
      <c r="O63" s="116"/>
    </row>
    <row r="64" spans="1:15" s="117" customFormat="1" ht="15.75">
      <c r="A64" s="214" t="s">
        <v>72</v>
      </c>
      <c r="B64" s="118">
        <f t="shared" si="14"/>
        <v>64340</v>
      </c>
      <c r="C64" s="118">
        <f>'PL 3'!C89</f>
        <v>31100</v>
      </c>
      <c r="D64" s="118">
        <f>'PL 3'!D89</f>
        <v>33240</v>
      </c>
      <c r="E64" s="118">
        <f>'PL 3'!E89</f>
        <v>900</v>
      </c>
      <c r="F64" s="118">
        <f>'PL 3'!F89</f>
        <v>9100</v>
      </c>
      <c r="G64" s="118">
        <f>'PL 3'!G89</f>
        <v>1700</v>
      </c>
      <c r="H64" s="118">
        <f>'PL 3'!H89</f>
        <v>4800</v>
      </c>
      <c r="I64" s="118">
        <f>'PL 3'!I89</f>
        <v>3150</v>
      </c>
      <c r="J64" s="118">
        <f>'PL 3'!J89</f>
        <v>1120</v>
      </c>
      <c r="K64" s="118">
        <f>'PL 3'!K89</f>
        <v>2000</v>
      </c>
      <c r="L64" s="118">
        <f>'PL 3'!L89</f>
        <v>3470</v>
      </c>
      <c r="M64" s="118">
        <f>'PL 3'!M89</f>
        <v>4300</v>
      </c>
      <c r="N64" s="118">
        <f>'PL 3'!N89</f>
        <v>2700</v>
      </c>
      <c r="O64" s="116"/>
    </row>
  </sheetData>
  <mergeCells count="10">
    <mergeCell ref="A1:B1"/>
    <mergeCell ref="B7:B9"/>
    <mergeCell ref="A3:N3"/>
    <mergeCell ref="A4:N4"/>
    <mergeCell ref="C8:C9"/>
    <mergeCell ref="D8:D9"/>
    <mergeCell ref="E8:N8"/>
    <mergeCell ref="C7:N7"/>
    <mergeCell ref="A5:N5"/>
    <mergeCell ref="A7:A9"/>
  </mergeCells>
  <printOptions horizontalCentered="1"/>
  <pageMargins left="0.5" right="0.5" top="0.75" bottom="0.5" header="0.5" footer="0.25"/>
  <pageSetup fitToHeight="2" fitToWidth="1" horizontalDpi="600" verticalDpi="600" orientation="landscape" paperSize="9" scale="81" r:id="rId2"/>
  <headerFooter alignWithMargins="0">
    <oddFooter>&amp;R&amp;P</oddFooter>
  </headerFooter>
  <rowBreaks count="1" manualBreakCount="1">
    <brk id="49" max="255" man="1"/>
  </rowBreaks>
  <colBreaks count="1" manualBreakCount="1">
    <brk id="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0"/>
  <sheetViews>
    <sheetView workbookViewId="0" topLeftCell="A1">
      <selection activeCell="N10" sqref="N10"/>
    </sheetView>
  </sheetViews>
  <sheetFormatPr defaultColWidth="9.140625" defaultRowHeight="12.75"/>
  <cols>
    <col min="1" max="1" width="4.57421875" style="145" customWidth="1"/>
    <col min="2" max="2" width="33.57421875" style="145" customWidth="1"/>
    <col min="3" max="3" width="6.00390625" style="145" customWidth="1"/>
    <col min="4" max="4" width="8.421875" style="145" customWidth="1"/>
    <col min="5" max="5" width="8.140625" style="145" customWidth="1"/>
    <col min="6" max="6" width="8.421875" style="145" customWidth="1"/>
    <col min="7" max="7" width="5.57421875" style="145" customWidth="1"/>
    <col min="8" max="8" width="8.7109375" style="145" customWidth="1"/>
    <col min="9" max="9" width="7.140625" style="145" customWidth="1"/>
    <col min="10" max="10" width="11.57421875" style="145" customWidth="1"/>
    <col min="11" max="12" width="8.00390625" style="145" hidden="1" customWidth="1"/>
    <col min="13" max="16384" width="8.00390625" style="145" customWidth="1"/>
  </cols>
  <sheetData>
    <row r="1" spans="1:4" ht="15.75" customHeight="1">
      <c r="A1" s="168" t="s">
        <v>328</v>
      </c>
      <c r="B1" s="168"/>
      <c r="C1" s="168"/>
      <c r="D1" s="168"/>
    </row>
    <row r="2" spans="1:10" ht="27" customHeight="1">
      <c r="A2" s="181" t="s">
        <v>339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 ht="23.2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ht="23.25" customHeight="1">
      <c r="A4" s="224" t="s">
        <v>338</v>
      </c>
      <c r="B4" s="224"/>
      <c r="C4" s="224"/>
      <c r="D4" s="224"/>
      <c r="E4" s="224"/>
      <c r="F4" s="224"/>
      <c r="G4" s="224"/>
      <c r="H4" s="224"/>
      <c r="I4" s="224"/>
      <c r="J4" s="224"/>
    </row>
    <row r="5" spans="1:11" ht="51.75" customHeight="1">
      <c r="A5" s="210"/>
      <c r="B5" s="210"/>
      <c r="C5" s="210"/>
      <c r="D5" s="245" t="s">
        <v>342</v>
      </c>
      <c r="E5" s="225"/>
      <c r="F5" s="225"/>
      <c r="G5" s="225"/>
      <c r="H5" s="225"/>
      <c r="I5" s="225"/>
      <c r="J5" s="225"/>
      <c r="K5" s="225"/>
    </row>
    <row r="6" spans="1:10" ht="22.5" customHeight="1">
      <c r="A6" s="174" t="s">
        <v>124</v>
      </c>
      <c r="B6" s="180" t="s">
        <v>143</v>
      </c>
      <c r="C6" s="174" t="s">
        <v>144</v>
      </c>
      <c r="D6" s="179" t="s">
        <v>145</v>
      </c>
      <c r="E6" s="179"/>
      <c r="F6" s="146"/>
      <c r="G6" s="174" t="s">
        <v>146</v>
      </c>
      <c r="H6" s="174" t="s">
        <v>147</v>
      </c>
      <c r="I6" s="174" t="s">
        <v>148</v>
      </c>
      <c r="J6" s="174" t="s">
        <v>149</v>
      </c>
    </row>
    <row r="7" spans="1:10" ht="15.75">
      <c r="A7" s="175"/>
      <c r="B7" s="175"/>
      <c r="C7" s="183"/>
      <c r="D7" s="184" t="s">
        <v>150</v>
      </c>
      <c r="E7" s="174" t="s">
        <v>151</v>
      </c>
      <c r="F7" s="174" t="s">
        <v>152</v>
      </c>
      <c r="G7" s="175"/>
      <c r="H7" s="175"/>
      <c r="I7" s="177"/>
      <c r="J7" s="175"/>
    </row>
    <row r="8" spans="1:10" ht="15.75" customHeight="1">
      <c r="A8" s="175"/>
      <c r="B8" s="175"/>
      <c r="C8" s="175"/>
      <c r="D8" s="177"/>
      <c r="E8" s="175"/>
      <c r="F8" s="175"/>
      <c r="G8" s="175"/>
      <c r="H8" s="175"/>
      <c r="I8" s="177"/>
      <c r="J8" s="175"/>
    </row>
    <row r="9" spans="1:10" ht="15.75" customHeight="1">
      <c r="A9" s="175"/>
      <c r="B9" s="175"/>
      <c r="C9" s="175"/>
      <c r="D9" s="177"/>
      <c r="E9" s="175"/>
      <c r="F9" s="175"/>
      <c r="G9" s="175"/>
      <c r="H9" s="175"/>
      <c r="I9" s="177"/>
      <c r="J9" s="175"/>
    </row>
    <row r="10" spans="1:10" ht="15.75">
      <c r="A10" s="175"/>
      <c r="B10" s="175"/>
      <c r="C10" s="175"/>
      <c r="D10" s="177"/>
      <c r="E10" s="175"/>
      <c r="F10" s="175"/>
      <c r="G10" s="175"/>
      <c r="H10" s="175"/>
      <c r="I10" s="177"/>
      <c r="J10" s="175"/>
    </row>
    <row r="11" spans="1:10" ht="15.75">
      <c r="A11" s="176"/>
      <c r="B11" s="176"/>
      <c r="C11" s="176"/>
      <c r="D11" s="178"/>
      <c r="E11" s="176"/>
      <c r="F11" s="176"/>
      <c r="G11" s="176"/>
      <c r="H11" s="176"/>
      <c r="I11" s="178"/>
      <c r="J11" s="176"/>
    </row>
    <row r="12" spans="1:10" ht="27" customHeight="1">
      <c r="A12" s="226" t="s">
        <v>153</v>
      </c>
      <c r="B12" s="227" t="s">
        <v>154</v>
      </c>
      <c r="C12" s="227">
        <f>SUM(C13:C14)</f>
        <v>0</v>
      </c>
      <c r="D12" s="228">
        <f>D13+D14</f>
        <v>0</v>
      </c>
      <c r="E12" s="228">
        <f>SUM(E13:E14)</f>
        <v>5631</v>
      </c>
      <c r="F12" s="228">
        <f>D12+E12</f>
        <v>5631</v>
      </c>
      <c r="G12" s="228"/>
      <c r="H12" s="228">
        <f>SUM(H13:H14)</f>
        <v>5631</v>
      </c>
      <c r="I12" s="228"/>
      <c r="J12" s="228"/>
    </row>
    <row r="13" spans="1:10" ht="30">
      <c r="A13" s="147">
        <v>1</v>
      </c>
      <c r="B13" s="148" t="s">
        <v>155</v>
      </c>
      <c r="C13" s="149"/>
      <c r="D13" s="150"/>
      <c r="E13" s="150">
        <v>672</v>
      </c>
      <c r="F13" s="150">
        <f>D13+E13</f>
        <v>672</v>
      </c>
      <c r="G13" s="150"/>
      <c r="H13" s="150">
        <f>F13</f>
        <v>672</v>
      </c>
      <c r="I13" s="150"/>
      <c r="J13" s="150"/>
    </row>
    <row r="14" spans="1:10" ht="25.5" customHeight="1">
      <c r="A14" s="147">
        <v>2</v>
      </c>
      <c r="B14" s="149" t="s">
        <v>156</v>
      </c>
      <c r="C14" s="149"/>
      <c r="D14" s="150"/>
      <c r="E14" s="150">
        <v>4959</v>
      </c>
      <c r="F14" s="150">
        <f>D14+E14</f>
        <v>4959</v>
      </c>
      <c r="G14" s="151"/>
      <c r="H14" s="152">
        <f>F14</f>
        <v>4959</v>
      </c>
      <c r="I14" s="150"/>
      <c r="J14" s="151"/>
    </row>
    <row r="15" spans="1:10" ht="15.75">
      <c r="A15" s="153" t="s">
        <v>157</v>
      </c>
      <c r="B15" s="155" t="s">
        <v>158</v>
      </c>
      <c r="C15" s="155">
        <f>C16+C19+C31+C40</f>
        <v>527</v>
      </c>
      <c r="D15" s="157">
        <f aca="true" t="shared" si="0" ref="D15:J15">D16+D19+D31+D40+D35</f>
        <v>36932</v>
      </c>
      <c r="E15" s="157">
        <f t="shared" si="0"/>
        <v>94675</v>
      </c>
      <c r="F15" s="157">
        <f t="shared" si="0"/>
        <v>131607</v>
      </c>
      <c r="G15" s="157">
        <f t="shared" si="0"/>
        <v>0</v>
      </c>
      <c r="H15" s="157">
        <f t="shared" si="0"/>
        <v>128697</v>
      </c>
      <c r="I15" s="157">
        <f t="shared" si="0"/>
        <v>3554.8202400000005</v>
      </c>
      <c r="J15" s="157">
        <f t="shared" si="0"/>
        <v>1371</v>
      </c>
    </row>
    <row r="16" spans="1:10" ht="15.75">
      <c r="A16" s="153" t="s">
        <v>159</v>
      </c>
      <c r="B16" s="155" t="s">
        <v>160</v>
      </c>
      <c r="C16" s="155">
        <f aca="true" t="shared" si="1" ref="C16:I16">SUM(C17:C18)</f>
        <v>59</v>
      </c>
      <c r="D16" s="157">
        <f t="shared" si="1"/>
        <v>3540</v>
      </c>
      <c r="E16" s="157">
        <f t="shared" si="1"/>
        <v>4520</v>
      </c>
      <c r="F16" s="157">
        <f t="shared" si="1"/>
        <v>8060</v>
      </c>
      <c r="G16" s="157">
        <f t="shared" si="1"/>
        <v>0</v>
      </c>
      <c r="H16" s="157">
        <f t="shared" si="1"/>
        <v>8060</v>
      </c>
      <c r="I16" s="157">
        <f t="shared" si="1"/>
        <v>969.1362</v>
      </c>
      <c r="J16" s="157">
        <f>J17+J18</f>
        <v>132</v>
      </c>
    </row>
    <row r="17" spans="1:10" ht="15.75">
      <c r="A17" s="147">
        <v>2</v>
      </c>
      <c r="B17" s="149" t="s">
        <v>161</v>
      </c>
      <c r="C17" s="149">
        <v>43</v>
      </c>
      <c r="D17" s="150">
        <f>43*60</f>
        <v>2580</v>
      </c>
      <c r="E17" s="150">
        <v>4320</v>
      </c>
      <c r="F17" s="150">
        <f>SUM(D17:E17)</f>
        <v>6900</v>
      </c>
      <c r="G17" s="150"/>
      <c r="H17" s="150">
        <f>F17</f>
        <v>6900</v>
      </c>
      <c r="I17" s="150">
        <v>912</v>
      </c>
      <c r="J17" s="150">
        <v>78</v>
      </c>
    </row>
    <row r="18" spans="1:10" ht="15.75">
      <c r="A18" s="147">
        <v>3</v>
      </c>
      <c r="B18" s="149" t="s">
        <v>162</v>
      </c>
      <c r="C18" s="149">
        <v>16</v>
      </c>
      <c r="D18" s="150">
        <f>16*60</f>
        <v>960</v>
      </c>
      <c r="E18" s="150">
        <v>200</v>
      </c>
      <c r="F18" s="150">
        <f>SUM(D18:E18)</f>
        <v>1160</v>
      </c>
      <c r="G18" s="150"/>
      <c r="H18" s="150">
        <f>F18</f>
        <v>1160</v>
      </c>
      <c r="I18" s="150">
        <f>39.35*0.1*12*1.21</f>
        <v>57.1362</v>
      </c>
      <c r="J18" s="150">
        <v>54</v>
      </c>
    </row>
    <row r="19" spans="1:10" ht="15.75">
      <c r="A19" s="153" t="s">
        <v>163</v>
      </c>
      <c r="B19" s="155" t="s">
        <v>164</v>
      </c>
      <c r="C19" s="155">
        <f>SUM(C20:C30)</f>
        <v>269</v>
      </c>
      <c r="D19" s="157">
        <f>SUM(D20:D30)</f>
        <v>18752</v>
      </c>
      <c r="E19" s="157">
        <f>SUM(E20:E30)</f>
        <v>21927</v>
      </c>
      <c r="F19" s="157">
        <f>SUM(F20:F30)</f>
        <v>40679</v>
      </c>
      <c r="G19" s="157"/>
      <c r="H19" s="157">
        <f>SUM(H20:H30)</f>
        <v>39785</v>
      </c>
      <c r="I19" s="157">
        <f>SUM(I20:I30)</f>
        <v>1609.21388</v>
      </c>
      <c r="J19" s="157">
        <f>SUM(J20:J30)</f>
        <v>646</v>
      </c>
    </row>
    <row r="20" spans="1:10" ht="15.75">
      <c r="A20" s="147">
        <v>1</v>
      </c>
      <c r="B20" s="149" t="s">
        <v>165</v>
      </c>
      <c r="C20" s="149"/>
      <c r="D20" s="150"/>
      <c r="E20" s="150">
        <v>4322</v>
      </c>
      <c r="F20" s="150">
        <f aca="true" t="shared" si="2" ref="F20:F30">SUM(D20:E20)</f>
        <v>4322</v>
      </c>
      <c r="G20" s="150"/>
      <c r="H20" s="150">
        <f>F20</f>
        <v>4322</v>
      </c>
      <c r="I20" s="150"/>
      <c r="J20" s="150"/>
    </row>
    <row r="21" spans="1:10" ht="15.75">
      <c r="A21" s="147">
        <v>2</v>
      </c>
      <c r="B21" s="149" t="s">
        <v>166</v>
      </c>
      <c r="C21" s="149">
        <v>68</v>
      </c>
      <c r="D21" s="150">
        <v>5186</v>
      </c>
      <c r="E21" s="150">
        <v>3530</v>
      </c>
      <c r="F21" s="150">
        <f t="shared" si="2"/>
        <v>8716</v>
      </c>
      <c r="G21" s="150">
        <v>10</v>
      </c>
      <c r="H21" s="150">
        <v>8308</v>
      </c>
      <c r="I21" s="150">
        <v>534</v>
      </c>
      <c r="J21" s="150">
        <v>139</v>
      </c>
    </row>
    <row r="22" spans="1:10" ht="15.75">
      <c r="A22" s="147">
        <v>3</v>
      </c>
      <c r="B22" s="149" t="s">
        <v>167</v>
      </c>
      <c r="C22" s="149">
        <v>58</v>
      </c>
      <c r="D22" s="150">
        <v>4586</v>
      </c>
      <c r="E22" s="150">
        <v>2550</v>
      </c>
      <c r="F22" s="150">
        <f t="shared" si="2"/>
        <v>7136</v>
      </c>
      <c r="G22" s="150"/>
      <c r="H22" s="150">
        <f>F22</f>
        <v>7136</v>
      </c>
      <c r="I22" s="150">
        <v>521</v>
      </c>
      <c r="J22" s="150">
        <v>106</v>
      </c>
    </row>
    <row r="23" spans="1:10" ht="15.75">
      <c r="A23" s="147">
        <v>4</v>
      </c>
      <c r="B23" s="149" t="s">
        <v>168</v>
      </c>
      <c r="C23" s="149">
        <v>36</v>
      </c>
      <c r="D23" s="150">
        <f>36*60</f>
        <v>2160</v>
      </c>
      <c r="E23" s="150">
        <v>3750</v>
      </c>
      <c r="F23" s="150">
        <f t="shared" si="2"/>
        <v>5910</v>
      </c>
      <c r="G23" s="150"/>
      <c r="H23" s="150">
        <f>F23</f>
        <v>5910</v>
      </c>
      <c r="I23" s="150">
        <f>96.34*0.1*12*1.21</f>
        <v>139.88568</v>
      </c>
      <c r="J23" s="150">
        <v>114</v>
      </c>
    </row>
    <row r="24" spans="1:10" ht="15.75">
      <c r="A24" s="147">
        <v>5</v>
      </c>
      <c r="B24" s="149" t="s">
        <v>169</v>
      </c>
      <c r="C24" s="149">
        <v>19</v>
      </c>
      <c r="D24" s="150">
        <f>19*60</f>
        <v>1140</v>
      </c>
      <c r="E24" s="150">
        <v>460</v>
      </c>
      <c r="F24" s="150">
        <f t="shared" si="2"/>
        <v>1600</v>
      </c>
      <c r="G24" s="150"/>
      <c r="H24" s="150">
        <f>F24</f>
        <v>1600</v>
      </c>
      <c r="I24" s="150">
        <f>48.49*0.1*12*1.21</f>
        <v>70.40748</v>
      </c>
      <c r="J24" s="150">
        <v>63</v>
      </c>
    </row>
    <row r="25" spans="1:10" ht="15.75">
      <c r="A25" s="147">
        <v>6</v>
      </c>
      <c r="B25" s="149" t="s">
        <v>170</v>
      </c>
      <c r="C25" s="149">
        <v>20</v>
      </c>
      <c r="D25" s="150">
        <f>20*60</f>
        <v>1200</v>
      </c>
      <c r="E25" s="150">
        <v>2800</v>
      </c>
      <c r="F25" s="150">
        <f t="shared" si="2"/>
        <v>4000</v>
      </c>
      <c r="G25" s="150"/>
      <c r="H25" s="150">
        <f>F25</f>
        <v>4000</v>
      </c>
      <c r="I25" s="150">
        <f>50.98*0.1*12*1.21</f>
        <v>74.02296</v>
      </c>
      <c r="J25" s="150">
        <v>66</v>
      </c>
    </row>
    <row r="26" spans="1:10" ht="30">
      <c r="A26" s="147">
        <v>7</v>
      </c>
      <c r="B26" s="148" t="s">
        <v>171</v>
      </c>
      <c r="C26" s="149">
        <v>17</v>
      </c>
      <c r="D26" s="150">
        <f>17*60</f>
        <v>1020</v>
      </c>
      <c r="E26" s="150"/>
      <c r="F26" s="150">
        <f t="shared" si="2"/>
        <v>1020</v>
      </c>
      <c r="G26" s="150">
        <v>30</v>
      </c>
      <c r="H26" s="150">
        <f>D26-D26*0.3+E26</f>
        <v>714</v>
      </c>
      <c r="I26" s="150">
        <f>43.99*0.1*12*1.21</f>
        <v>63.873479999999994</v>
      </c>
      <c r="J26" s="150">
        <v>25</v>
      </c>
    </row>
    <row r="27" spans="1:10" ht="15.75">
      <c r="A27" s="147">
        <v>8</v>
      </c>
      <c r="B27" s="149" t="s">
        <v>172</v>
      </c>
      <c r="C27" s="149">
        <v>17</v>
      </c>
      <c r="D27" s="150">
        <v>1420</v>
      </c>
      <c r="E27" s="150">
        <v>1665</v>
      </c>
      <c r="F27" s="150">
        <f t="shared" si="2"/>
        <v>3085</v>
      </c>
      <c r="G27" s="150"/>
      <c r="H27" s="150">
        <f>F27</f>
        <v>3085</v>
      </c>
      <c r="I27" s="150">
        <f>37.34*0.1*12*1.21</f>
        <v>54.21768000000001</v>
      </c>
      <c r="J27" s="150">
        <v>63</v>
      </c>
    </row>
    <row r="28" spans="1:10" ht="15.75">
      <c r="A28" s="147">
        <v>9</v>
      </c>
      <c r="B28" s="149" t="s">
        <v>173</v>
      </c>
      <c r="C28" s="149">
        <v>15</v>
      </c>
      <c r="D28" s="150">
        <f>15*60</f>
        <v>900</v>
      </c>
      <c r="E28" s="150">
        <v>1800</v>
      </c>
      <c r="F28" s="150">
        <f t="shared" si="2"/>
        <v>2700</v>
      </c>
      <c r="G28" s="150">
        <v>20</v>
      </c>
      <c r="H28" s="150">
        <f>D28-D28*0.2+E28</f>
        <v>2520</v>
      </c>
      <c r="I28" s="150">
        <f>37.15*0.1*12*1.21</f>
        <v>53.94179999999999</v>
      </c>
      <c r="J28" s="150">
        <v>27</v>
      </c>
    </row>
    <row r="29" spans="1:10" ht="30">
      <c r="A29" s="147">
        <v>10</v>
      </c>
      <c r="B29" s="148" t="s">
        <v>174</v>
      </c>
      <c r="C29" s="149">
        <v>13</v>
      </c>
      <c r="D29" s="150">
        <f>13*60</f>
        <v>780</v>
      </c>
      <c r="E29" s="150">
        <v>850</v>
      </c>
      <c r="F29" s="150">
        <f t="shared" si="2"/>
        <v>1630</v>
      </c>
      <c r="G29" s="150"/>
      <c r="H29" s="150">
        <f>F29</f>
        <v>1630</v>
      </c>
      <c r="I29" s="150">
        <f>46.4*0.1*12*1.21</f>
        <v>67.37279999999998</v>
      </c>
      <c r="J29" s="150">
        <v>29</v>
      </c>
    </row>
    <row r="30" spans="1:10" ht="30">
      <c r="A30" s="147">
        <v>11</v>
      </c>
      <c r="B30" s="148" t="s">
        <v>175</v>
      </c>
      <c r="C30" s="149">
        <v>6</v>
      </c>
      <c r="D30" s="150">
        <v>360</v>
      </c>
      <c r="E30" s="150">
        <v>200</v>
      </c>
      <c r="F30" s="150">
        <f t="shared" si="2"/>
        <v>560</v>
      </c>
      <c r="G30" s="150"/>
      <c r="H30" s="150">
        <f>F30</f>
        <v>560</v>
      </c>
      <c r="I30" s="150">
        <f>21*0.1*12*1.21</f>
        <v>30.492</v>
      </c>
      <c r="J30" s="150">
        <v>14</v>
      </c>
    </row>
    <row r="31" spans="1:10" ht="15.75">
      <c r="A31" s="153" t="s">
        <v>176</v>
      </c>
      <c r="B31" s="155" t="s">
        <v>177</v>
      </c>
      <c r="C31" s="155">
        <f>SUM(C32:C33)</f>
        <v>51</v>
      </c>
      <c r="D31" s="157">
        <f>SUM(D32:D33)</f>
        <v>3060</v>
      </c>
      <c r="E31" s="157">
        <f>SUM(E32:E34)</f>
        <v>10184</v>
      </c>
      <c r="F31" s="157">
        <f>SUM(F32:F34)</f>
        <v>13244</v>
      </c>
      <c r="G31" s="157"/>
      <c r="H31" s="157">
        <f>SUM(H32:H34)</f>
        <v>13142</v>
      </c>
      <c r="I31" s="157">
        <f>SUM(I32:I33)</f>
        <v>215.985</v>
      </c>
      <c r="J31" s="157">
        <f>SUM(J32:J33)</f>
        <v>149</v>
      </c>
    </row>
    <row r="32" spans="1:10" ht="15.75">
      <c r="A32" s="147">
        <v>1</v>
      </c>
      <c r="B32" s="149" t="s">
        <v>178</v>
      </c>
      <c r="C32" s="149">
        <v>34</v>
      </c>
      <c r="D32" s="150">
        <f>34*60</f>
        <v>2040</v>
      </c>
      <c r="E32" s="150">
        <v>40</v>
      </c>
      <c r="F32" s="150">
        <f>SUM(D32:E32)</f>
        <v>2080</v>
      </c>
      <c r="G32" s="150"/>
      <c r="H32" s="150">
        <f>F32</f>
        <v>2080</v>
      </c>
      <c r="I32" s="150">
        <f>102.34*0.1*12*1.21</f>
        <v>148.59768000000003</v>
      </c>
      <c r="J32" s="150">
        <v>96</v>
      </c>
    </row>
    <row r="33" spans="1:10" ht="15.75">
      <c r="A33" s="147">
        <v>2</v>
      </c>
      <c r="B33" s="149" t="s">
        <v>179</v>
      </c>
      <c r="C33" s="149">
        <v>17</v>
      </c>
      <c r="D33" s="150">
        <f>17*60</f>
        <v>1020</v>
      </c>
      <c r="E33" s="150">
        <v>144</v>
      </c>
      <c r="F33" s="150">
        <f>SUM(D33:E33)</f>
        <v>1164</v>
      </c>
      <c r="G33" s="150">
        <v>10</v>
      </c>
      <c r="H33" s="150">
        <f>D33-D33*0.1+E33</f>
        <v>1062</v>
      </c>
      <c r="I33" s="150">
        <f>46.41*0.1*12*1.21</f>
        <v>67.38732</v>
      </c>
      <c r="J33" s="150">
        <v>53</v>
      </c>
    </row>
    <row r="34" spans="1:10" ht="15.75">
      <c r="A34" s="147">
        <v>3</v>
      </c>
      <c r="B34" s="149" t="s">
        <v>177</v>
      </c>
      <c r="C34" s="149"/>
      <c r="D34" s="150"/>
      <c r="E34" s="150">
        <v>10000</v>
      </c>
      <c r="F34" s="150">
        <f>SUM(D34:E34)</f>
        <v>10000</v>
      </c>
      <c r="G34" s="150"/>
      <c r="H34" s="150">
        <f>F34</f>
        <v>10000</v>
      </c>
      <c r="I34" s="150"/>
      <c r="J34" s="150"/>
    </row>
    <row r="35" spans="1:10" ht="15.75">
      <c r="A35" s="153" t="s">
        <v>180</v>
      </c>
      <c r="B35" s="155" t="s">
        <v>181</v>
      </c>
      <c r="C35" s="155">
        <f>SUM(C36:C39)</f>
        <v>45</v>
      </c>
      <c r="D35" s="155">
        <f>SUM(D36:D39)</f>
        <v>2700</v>
      </c>
      <c r="E35" s="155">
        <f>SUM(E36:E39)</f>
        <v>13024</v>
      </c>
      <c r="F35" s="157">
        <f>SUM(F36:F39)</f>
        <v>15724</v>
      </c>
      <c r="G35" s="157"/>
      <c r="H35" s="157">
        <f>SUM(H36:H39)</f>
        <v>15154</v>
      </c>
      <c r="I35" s="155">
        <f>SUM(I36:I39)</f>
        <v>170.7552</v>
      </c>
      <c r="J35" s="157">
        <f>SUM(J36:J39)</f>
        <v>82</v>
      </c>
    </row>
    <row r="36" spans="1:10" ht="15.75">
      <c r="A36" s="147">
        <v>1</v>
      </c>
      <c r="B36" s="149" t="s">
        <v>182</v>
      </c>
      <c r="C36" s="149">
        <v>18</v>
      </c>
      <c r="D36" s="150">
        <f>18*60</f>
        <v>1080</v>
      </c>
      <c r="E36" s="150">
        <v>144</v>
      </c>
      <c r="F36" s="150">
        <f>SUM(D36:E36)</f>
        <v>1224</v>
      </c>
      <c r="G36" s="150">
        <v>35</v>
      </c>
      <c r="H36" s="150">
        <f>D36-D36*0.35+E36</f>
        <v>846</v>
      </c>
      <c r="I36" s="150">
        <f>48.6*0.1*12*1.21</f>
        <v>70.56720000000001</v>
      </c>
      <c r="J36" s="150">
        <v>12</v>
      </c>
    </row>
    <row r="37" spans="1:10" ht="30">
      <c r="A37" s="147">
        <v>2</v>
      </c>
      <c r="B37" s="148" t="s">
        <v>183</v>
      </c>
      <c r="C37" s="149">
        <v>16</v>
      </c>
      <c r="D37" s="150">
        <f>16*60</f>
        <v>960</v>
      </c>
      <c r="E37" s="150">
        <v>1000</v>
      </c>
      <c r="F37" s="150">
        <f>SUM(D37:E37)</f>
        <v>1960</v>
      </c>
      <c r="G37" s="150">
        <v>20</v>
      </c>
      <c r="H37" s="150">
        <f>D37-D37*0.2+E37</f>
        <v>1768</v>
      </c>
      <c r="I37" s="150">
        <f>43.3*0.1*12*1.21</f>
        <v>62.8716</v>
      </c>
      <c r="J37" s="150">
        <v>31</v>
      </c>
    </row>
    <row r="38" spans="1:10" ht="30">
      <c r="A38" s="147">
        <v>3</v>
      </c>
      <c r="B38" s="148" t="s">
        <v>184</v>
      </c>
      <c r="C38" s="149">
        <v>11</v>
      </c>
      <c r="D38" s="150">
        <f>11*60</f>
        <v>660</v>
      </c>
      <c r="E38" s="150">
        <v>220</v>
      </c>
      <c r="F38" s="150">
        <f>SUM(D38:E38)</f>
        <v>880</v>
      </c>
      <c r="G38" s="150"/>
      <c r="H38" s="150">
        <f>F38</f>
        <v>880</v>
      </c>
      <c r="I38" s="150">
        <f>25.7*0.1*12*1.21</f>
        <v>37.3164</v>
      </c>
      <c r="J38" s="150">
        <v>39</v>
      </c>
    </row>
    <row r="39" spans="1:10" ht="15.75">
      <c r="A39" s="147">
        <v>3</v>
      </c>
      <c r="B39" s="149" t="s">
        <v>185</v>
      </c>
      <c r="C39" s="149"/>
      <c r="D39" s="150"/>
      <c r="E39" s="150">
        <v>11660</v>
      </c>
      <c r="F39" s="150">
        <f>D39+E39</f>
        <v>11660</v>
      </c>
      <c r="G39" s="150"/>
      <c r="H39" s="150">
        <f>F39</f>
        <v>11660</v>
      </c>
      <c r="I39" s="150"/>
      <c r="J39" s="150"/>
    </row>
    <row r="40" spans="1:10" ht="15.75">
      <c r="A40" s="153" t="s">
        <v>180</v>
      </c>
      <c r="B40" s="155" t="s">
        <v>186</v>
      </c>
      <c r="C40" s="155">
        <f>SUM(C41:C54)</f>
        <v>148</v>
      </c>
      <c r="D40" s="157">
        <f>SUM(D41:D54)</f>
        <v>8880</v>
      </c>
      <c r="E40" s="157">
        <f>SUM(E41:E54)</f>
        <v>45020</v>
      </c>
      <c r="F40" s="157">
        <f>SUM(F41:F54)</f>
        <v>53900</v>
      </c>
      <c r="G40" s="157"/>
      <c r="H40" s="157">
        <f>SUM(H41:H54)</f>
        <v>52556</v>
      </c>
      <c r="I40" s="157">
        <f>SUM(I41:I54)</f>
        <v>589.7299599999999</v>
      </c>
      <c r="J40" s="157">
        <f>SUM(J41:J54)</f>
        <v>362</v>
      </c>
    </row>
    <row r="41" spans="1:10" ht="15.75">
      <c r="A41" s="147">
        <v>1</v>
      </c>
      <c r="B41" s="149" t="s">
        <v>187</v>
      </c>
      <c r="C41" s="149">
        <v>12</v>
      </c>
      <c r="D41" s="150">
        <f>12*60</f>
        <v>720</v>
      </c>
      <c r="E41" s="150">
        <v>100</v>
      </c>
      <c r="F41" s="150">
        <f aca="true" t="shared" si="3" ref="F41:F53">SUM(D41:E41)</f>
        <v>820</v>
      </c>
      <c r="G41" s="150">
        <v>15</v>
      </c>
      <c r="H41" s="150">
        <f>D41-D41*0.15+E41</f>
        <v>712</v>
      </c>
      <c r="I41" s="150">
        <f>38.28*0.1*12*1.21</f>
        <v>55.58256000000001</v>
      </c>
      <c r="J41" s="150">
        <v>21</v>
      </c>
    </row>
    <row r="42" spans="1:10" ht="30">
      <c r="A42" s="147">
        <v>2</v>
      </c>
      <c r="B42" s="148" t="s">
        <v>188</v>
      </c>
      <c r="C42" s="149">
        <v>17</v>
      </c>
      <c r="D42" s="150">
        <f>17*60</f>
        <v>1020</v>
      </c>
      <c r="E42" s="150"/>
      <c r="F42" s="150">
        <f t="shared" si="3"/>
        <v>1020</v>
      </c>
      <c r="G42" s="150">
        <v>50</v>
      </c>
      <c r="H42" s="150">
        <f>D42-D42*0.5+E42</f>
        <v>510</v>
      </c>
      <c r="I42" s="150">
        <f>43.69*0.1*12*1.21</f>
        <v>63.43787999999999</v>
      </c>
      <c r="J42" s="150">
        <v>5</v>
      </c>
    </row>
    <row r="43" spans="1:10" ht="15.75">
      <c r="A43" s="147">
        <v>3</v>
      </c>
      <c r="B43" s="149" t="s">
        <v>189</v>
      </c>
      <c r="C43" s="149">
        <v>24</v>
      </c>
      <c r="D43" s="150">
        <f>24*60</f>
        <v>1440</v>
      </c>
      <c r="E43" s="150">
        <v>200</v>
      </c>
      <c r="F43" s="150">
        <f t="shared" si="3"/>
        <v>1640</v>
      </c>
      <c r="G43" s="150"/>
      <c r="H43" s="150">
        <f>F43</f>
        <v>1640</v>
      </c>
      <c r="I43" s="150">
        <f>64.94*0.1*12*1.21+24</f>
        <v>118.29288</v>
      </c>
      <c r="J43" s="150">
        <v>75</v>
      </c>
    </row>
    <row r="44" spans="1:10" ht="30">
      <c r="A44" s="147">
        <v>4</v>
      </c>
      <c r="B44" s="148" t="s">
        <v>190</v>
      </c>
      <c r="C44" s="149">
        <v>24</v>
      </c>
      <c r="D44" s="150">
        <f>24*60</f>
        <v>1440</v>
      </c>
      <c r="E44" s="150">
        <v>3144</v>
      </c>
      <c r="F44" s="150">
        <f t="shared" si="3"/>
        <v>4584</v>
      </c>
      <c r="G44" s="150"/>
      <c r="H44" s="150">
        <f>F44</f>
        <v>4584</v>
      </c>
      <c r="I44" s="150">
        <v>92</v>
      </c>
      <c r="J44" s="150">
        <v>77</v>
      </c>
    </row>
    <row r="45" spans="1:10" ht="15.75">
      <c r="A45" s="147">
        <v>5</v>
      </c>
      <c r="B45" s="149" t="s">
        <v>191</v>
      </c>
      <c r="C45" s="149">
        <v>21</v>
      </c>
      <c r="D45" s="150">
        <f>21*60</f>
        <v>1260</v>
      </c>
      <c r="E45" s="150">
        <v>2136</v>
      </c>
      <c r="F45" s="150">
        <f t="shared" si="3"/>
        <v>3396</v>
      </c>
      <c r="G45" s="150">
        <v>10</v>
      </c>
      <c r="H45" s="150">
        <f>D45-D45*0.1+E45</f>
        <v>3270</v>
      </c>
      <c r="I45" s="150">
        <v>77</v>
      </c>
      <c r="J45" s="150">
        <v>59</v>
      </c>
    </row>
    <row r="46" spans="1:10" ht="15.75">
      <c r="A46" s="147">
        <v>6</v>
      </c>
      <c r="B46" s="149" t="s">
        <v>192</v>
      </c>
      <c r="C46" s="149">
        <v>6</v>
      </c>
      <c r="D46" s="150">
        <f>6*60</f>
        <v>360</v>
      </c>
      <c r="E46" s="150"/>
      <c r="F46" s="150">
        <f t="shared" si="3"/>
        <v>360</v>
      </c>
      <c r="G46" s="150">
        <v>50</v>
      </c>
      <c r="H46" s="150">
        <f>D46-D46*0.5+E46</f>
        <v>180</v>
      </c>
      <c r="I46" s="150">
        <f>16.38*0.1*12*1.21</f>
        <v>23.783759999999997</v>
      </c>
      <c r="J46" s="150"/>
    </row>
    <row r="47" spans="1:10" ht="15.75">
      <c r="A47" s="147">
        <v>7</v>
      </c>
      <c r="B47" s="149" t="s">
        <v>193</v>
      </c>
      <c r="C47" s="149">
        <v>7</v>
      </c>
      <c r="D47" s="150">
        <f>7*60</f>
        <v>420</v>
      </c>
      <c r="E47" s="150"/>
      <c r="F47" s="150">
        <f t="shared" si="3"/>
        <v>420</v>
      </c>
      <c r="G47" s="150">
        <v>100</v>
      </c>
      <c r="H47" s="150"/>
      <c r="I47" s="150">
        <f>16.38*0.1*12*1.21</f>
        <v>23.783759999999997</v>
      </c>
      <c r="J47" s="150"/>
    </row>
    <row r="48" spans="1:10" ht="15.75">
      <c r="A48" s="147">
        <v>8</v>
      </c>
      <c r="B48" s="149" t="s">
        <v>194</v>
      </c>
      <c r="C48" s="149">
        <v>16</v>
      </c>
      <c r="D48" s="150">
        <f>16*60</f>
        <v>960</v>
      </c>
      <c r="E48" s="150">
        <v>100</v>
      </c>
      <c r="F48" s="150">
        <f t="shared" si="3"/>
        <v>1060</v>
      </c>
      <c r="G48" s="150"/>
      <c r="H48" s="150">
        <f aca="true" t="shared" si="4" ref="H48:H54">F48</f>
        <v>1060</v>
      </c>
      <c r="I48" s="150">
        <f>38.56*0.1*12*1.21</f>
        <v>55.98912000000001</v>
      </c>
      <c r="J48" s="150">
        <v>55</v>
      </c>
    </row>
    <row r="49" spans="1:10" ht="15.75">
      <c r="A49" s="147">
        <v>9</v>
      </c>
      <c r="B49" s="149" t="s">
        <v>195</v>
      </c>
      <c r="C49" s="149">
        <v>12</v>
      </c>
      <c r="D49" s="150">
        <f>12*60</f>
        <v>720</v>
      </c>
      <c r="E49" s="150">
        <v>160</v>
      </c>
      <c r="F49" s="150">
        <f t="shared" si="3"/>
        <v>880</v>
      </c>
      <c r="G49" s="150"/>
      <c r="H49" s="150">
        <f t="shared" si="4"/>
        <v>880</v>
      </c>
      <c r="I49" s="150">
        <f>33.9*0.1*12*1.21</f>
        <v>49.2228</v>
      </c>
      <c r="J49" s="150">
        <v>38</v>
      </c>
    </row>
    <row r="50" spans="1:10" ht="30">
      <c r="A50" s="147">
        <v>10</v>
      </c>
      <c r="B50" s="148" t="s">
        <v>196</v>
      </c>
      <c r="C50" s="149">
        <v>9</v>
      </c>
      <c r="D50" s="150">
        <f>9*60</f>
        <v>540</v>
      </c>
      <c r="E50" s="150">
        <v>180</v>
      </c>
      <c r="F50" s="150">
        <f t="shared" si="3"/>
        <v>720</v>
      </c>
      <c r="G50" s="150"/>
      <c r="H50" s="150">
        <f t="shared" si="4"/>
        <v>720</v>
      </c>
      <c r="I50" s="150">
        <f>21.1*0.1*12*1.21</f>
        <v>30.637200000000004</v>
      </c>
      <c r="J50" s="150">
        <v>32</v>
      </c>
    </row>
    <row r="51" spans="1:10" ht="15.75">
      <c r="A51" s="147">
        <v>11</v>
      </c>
      <c r="B51" s="149" t="s">
        <v>197</v>
      </c>
      <c r="C51" s="149"/>
      <c r="D51" s="150"/>
      <c r="E51" s="150">
        <v>12000</v>
      </c>
      <c r="F51" s="150">
        <f t="shared" si="3"/>
        <v>12000</v>
      </c>
      <c r="G51" s="150"/>
      <c r="H51" s="150">
        <f t="shared" si="4"/>
        <v>12000</v>
      </c>
      <c r="I51" s="150"/>
      <c r="J51" s="150"/>
    </row>
    <row r="52" spans="1:10" ht="45">
      <c r="A52" s="147">
        <v>13</v>
      </c>
      <c r="B52" s="148" t="s">
        <v>198</v>
      </c>
      <c r="C52" s="149"/>
      <c r="D52" s="150"/>
      <c r="E52" s="150">
        <f>12270-500</f>
        <v>11770</v>
      </c>
      <c r="F52" s="150">
        <f t="shared" si="3"/>
        <v>11770</v>
      </c>
      <c r="G52" s="150"/>
      <c r="H52" s="150">
        <f t="shared" si="4"/>
        <v>11770</v>
      </c>
      <c r="I52" s="150"/>
      <c r="J52" s="150"/>
    </row>
    <row r="53" spans="1:10" ht="45.75" customHeight="1">
      <c r="A53" s="147">
        <v>14</v>
      </c>
      <c r="B53" s="148" t="s">
        <v>199</v>
      </c>
      <c r="C53" s="149"/>
      <c r="D53" s="150"/>
      <c r="E53" s="150">
        <v>1000</v>
      </c>
      <c r="F53" s="150">
        <f t="shared" si="3"/>
        <v>1000</v>
      </c>
      <c r="G53" s="150"/>
      <c r="H53" s="150">
        <f t="shared" si="4"/>
        <v>1000</v>
      </c>
      <c r="I53" s="150"/>
      <c r="J53" s="150"/>
    </row>
    <row r="54" spans="1:10" ht="15.75">
      <c r="A54" s="147">
        <v>15</v>
      </c>
      <c r="B54" s="148" t="s">
        <v>200</v>
      </c>
      <c r="C54" s="149"/>
      <c r="D54" s="150"/>
      <c r="E54" s="150">
        <f>10000+4230</f>
        <v>14230</v>
      </c>
      <c r="F54" s="150">
        <f>SUM(D54:E54)</f>
        <v>14230</v>
      </c>
      <c r="G54" s="150"/>
      <c r="H54" s="150">
        <f t="shared" si="4"/>
        <v>14230</v>
      </c>
      <c r="I54" s="150"/>
      <c r="J54" s="150"/>
    </row>
    <row r="55" spans="1:10" ht="15.75">
      <c r="A55" s="153" t="s">
        <v>201</v>
      </c>
      <c r="B55" s="229" t="s">
        <v>202</v>
      </c>
      <c r="C55" s="155">
        <f>SUM(C56:C58)</f>
        <v>112</v>
      </c>
      <c r="D55" s="155">
        <f>SUM(D56:D58)</f>
        <v>6720</v>
      </c>
      <c r="E55" s="155">
        <f>SUM(E56:E58)</f>
        <v>14720</v>
      </c>
      <c r="F55" s="155">
        <f>SUM(F56:F58)</f>
        <v>21440</v>
      </c>
      <c r="G55" s="155"/>
      <c r="H55" s="155">
        <f>SUM(H56:H58)</f>
        <v>21440</v>
      </c>
      <c r="I55" s="155">
        <f>SUM(I56:I58)</f>
        <v>3523.1668</v>
      </c>
      <c r="J55" s="155">
        <f>SUM(J56:J58)</f>
        <v>340</v>
      </c>
    </row>
    <row r="56" spans="1:10" ht="15.75">
      <c r="A56" s="147">
        <v>1</v>
      </c>
      <c r="B56" s="148" t="s">
        <v>203</v>
      </c>
      <c r="C56" s="149">
        <v>19</v>
      </c>
      <c r="D56" s="150">
        <f>19*60</f>
        <v>1140</v>
      </c>
      <c r="E56" s="150">
        <f>132+264</f>
        <v>396</v>
      </c>
      <c r="F56" s="150">
        <f>SUM(D56:E56)</f>
        <v>1536</v>
      </c>
      <c r="G56" s="150"/>
      <c r="H56" s="150">
        <f>F56</f>
        <v>1536</v>
      </c>
      <c r="I56" s="150">
        <f>55.9*0.1*12*1.21</f>
        <v>81.1668</v>
      </c>
      <c r="J56" s="150">
        <v>55</v>
      </c>
    </row>
    <row r="57" spans="1:10" ht="15.75">
      <c r="A57" s="147">
        <v>2</v>
      </c>
      <c r="B57" s="148" t="s">
        <v>204</v>
      </c>
      <c r="C57" s="149">
        <v>93</v>
      </c>
      <c r="D57" s="150">
        <f>93*60</f>
        <v>5580</v>
      </c>
      <c r="E57" s="150">
        <v>2324</v>
      </c>
      <c r="F57" s="150">
        <f>SUM(D57:E57)</f>
        <v>7904</v>
      </c>
      <c r="G57" s="150"/>
      <c r="H57" s="150">
        <f>F57</f>
        <v>7904</v>
      </c>
      <c r="I57" s="150">
        <v>3442</v>
      </c>
      <c r="J57" s="150">
        <v>285</v>
      </c>
    </row>
    <row r="58" spans="1:10" ht="15.75">
      <c r="A58" s="147">
        <v>3</v>
      </c>
      <c r="B58" s="148" t="s">
        <v>205</v>
      </c>
      <c r="C58" s="149"/>
      <c r="D58" s="150"/>
      <c r="E58" s="150">
        <v>12000</v>
      </c>
      <c r="F58" s="150">
        <f>SUM(D58:E58)</f>
        <v>12000</v>
      </c>
      <c r="G58" s="150"/>
      <c r="H58" s="150">
        <f>F58</f>
        <v>12000</v>
      </c>
      <c r="I58" s="150"/>
      <c r="J58" s="150"/>
    </row>
    <row r="59" spans="1:10" ht="15.75">
      <c r="A59" s="153" t="s">
        <v>206</v>
      </c>
      <c r="B59" s="155" t="s">
        <v>207</v>
      </c>
      <c r="C59" s="157">
        <f>C60+C64</f>
        <v>3291</v>
      </c>
      <c r="D59" s="157">
        <f>D60+D64</f>
        <v>205813</v>
      </c>
      <c r="E59" s="157">
        <f>E60+E64</f>
        <v>72135</v>
      </c>
      <c r="F59" s="157">
        <f>F60+F64</f>
        <v>277948</v>
      </c>
      <c r="G59" s="157"/>
      <c r="H59" s="157">
        <f>H60+H64</f>
        <v>277948</v>
      </c>
      <c r="I59" s="157">
        <f>I60+I64</f>
        <v>38283.87708</v>
      </c>
      <c r="J59" s="157">
        <f>J60+J64</f>
        <v>3863</v>
      </c>
    </row>
    <row r="60" spans="1:10" ht="15.75">
      <c r="A60" s="153" t="s">
        <v>208</v>
      </c>
      <c r="B60" s="155" t="s">
        <v>209</v>
      </c>
      <c r="C60" s="155">
        <f>SUM(C61:C63)</f>
        <v>2970</v>
      </c>
      <c r="D60" s="157">
        <f>SUM(D61:D63)</f>
        <v>175180</v>
      </c>
      <c r="E60" s="157">
        <f>SUM(E61:E63)</f>
        <v>49695</v>
      </c>
      <c r="F60" s="157">
        <f>SUM(F61:F63)</f>
        <v>224875</v>
      </c>
      <c r="G60" s="157"/>
      <c r="H60" s="157">
        <f>SUM(H61:H63)</f>
        <v>224875</v>
      </c>
      <c r="I60" s="157">
        <f>SUM(I61:I63)</f>
        <v>36681</v>
      </c>
      <c r="J60" s="157">
        <f>SUM(J61:J63)</f>
        <v>2578</v>
      </c>
    </row>
    <row r="61" spans="1:10" ht="15.75">
      <c r="A61" s="147">
        <v>1</v>
      </c>
      <c r="B61" s="154" t="s">
        <v>210</v>
      </c>
      <c r="C61" s="149">
        <v>2823</v>
      </c>
      <c r="D61" s="150">
        <v>160088</v>
      </c>
      <c r="E61" s="150">
        <f>17800+30495</f>
        <v>48295</v>
      </c>
      <c r="F61" s="150">
        <f>SUM(D61:E61)</f>
        <v>208383</v>
      </c>
      <c r="G61" s="150"/>
      <c r="H61" s="150">
        <f>F61</f>
        <v>208383</v>
      </c>
      <c r="I61" s="150">
        <v>31922</v>
      </c>
      <c r="J61" s="150">
        <v>2394</v>
      </c>
    </row>
    <row r="62" spans="1:10" ht="15.75">
      <c r="A62" s="147">
        <v>2</v>
      </c>
      <c r="B62" s="154" t="s">
        <v>211</v>
      </c>
      <c r="C62" s="149">
        <v>52</v>
      </c>
      <c r="D62" s="150">
        <v>7001</v>
      </c>
      <c r="E62" s="150">
        <v>500</v>
      </c>
      <c r="F62" s="150">
        <f>SUM(D62:E62)</f>
        <v>7501</v>
      </c>
      <c r="G62" s="150"/>
      <c r="H62" s="150">
        <f>F62</f>
        <v>7501</v>
      </c>
      <c r="I62" s="150">
        <v>1635</v>
      </c>
      <c r="J62" s="150">
        <v>52</v>
      </c>
    </row>
    <row r="63" spans="1:10" ht="15.75">
      <c r="A63" s="147">
        <v>3</v>
      </c>
      <c r="B63" s="149" t="s">
        <v>212</v>
      </c>
      <c r="C63" s="149">
        <v>95</v>
      </c>
      <c r="D63" s="150">
        <v>8091</v>
      </c>
      <c r="E63" s="150">
        <v>900</v>
      </c>
      <c r="F63" s="150">
        <f>SUM(D63:E63)</f>
        <v>8991</v>
      </c>
      <c r="G63" s="150"/>
      <c r="H63" s="150">
        <f>F63</f>
        <v>8991</v>
      </c>
      <c r="I63" s="150">
        <v>3124</v>
      </c>
      <c r="J63" s="150">
        <v>132</v>
      </c>
    </row>
    <row r="64" spans="1:10" ht="15.75">
      <c r="A64" s="153" t="s">
        <v>213</v>
      </c>
      <c r="B64" s="155" t="s">
        <v>214</v>
      </c>
      <c r="C64" s="155">
        <f>SUM(C65:C69)</f>
        <v>321</v>
      </c>
      <c r="D64" s="157">
        <f>SUM(D65:D69)</f>
        <v>30633</v>
      </c>
      <c r="E64" s="157">
        <f>SUM(E65:E69)</f>
        <v>22440</v>
      </c>
      <c r="F64" s="157">
        <f>SUM(F65:F69)</f>
        <v>53073</v>
      </c>
      <c r="G64" s="157"/>
      <c r="H64" s="157">
        <f>SUM(H65:H69)</f>
        <v>53073</v>
      </c>
      <c r="I64" s="157">
        <f>SUM(I65:I69)</f>
        <v>1602.87708</v>
      </c>
      <c r="J64" s="157">
        <f>SUM(J65:J69)</f>
        <v>1285</v>
      </c>
    </row>
    <row r="65" spans="1:10" ht="15.75">
      <c r="A65" s="147">
        <v>1</v>
      </c>
      <c r="B65" s="149" t="s">
        <v>215</v>
      </c>
      <c r="C65" s="149">
        <v>106</v>
      </c>
      <c r="D65" s="150">
        <v>8464</v>
      </c>
      <c r="E65" s="150">
        <v>800</v>
      </c>
      <c r="F65" s="150">
        <f>SUM(D65:E65)</f>
        <v>9264</v>
      </c>
      <c r="G65" s="150"/>
      <c r="H65" s="150">
        <f>F65</f>
        <v>9264</v>
      </c>
      <c r="I65" s="150">
        <f>264.09*0.1*12*1.21</f>
        <v>383.45868</v>
      </c>
      <c r="J65" s="150">
        <v>320</v>
      </c>
    </row>
    <row r="66" spans="1:10" ht="15.75">
      <c r="A66" s="147">
        <v>2</v>
      </c>
      <c r="B66" s="149" t="s">
        <v>216</v>
      </c>
      <c r="C66" s="149">
        <v>75</v>
      </c>
      <c r="D66" s="150">
        <v>12829</v>
      </c>
      <c r="E66" s="150">
        <v>1000</v>
      </c>
      <c r="F66" s="150">
        <f>SUM(D66:E66)</f>
        <v>13829</v>
      </c>
      <c r="G66" s="150"/>
      <c r="H66" s="150">
        <f>F66</f>
        <v>13829</v>
      </c>
      <c r="I66" s="150">
        <f>127.34*0.1*12*1.21+33</f>
        <v>217.89768</v>
      </c>
      <c r="J66" s="150">
        <v>509</v>
      </c>
    </row>
    <row r="67" spans="1:10" ht="15.75">
      <c r="A67" s="147">
        <v>3</v>
      </c>
      <c r="B67" s="149" t="s">
        <v>217</v>
      </c>
      <c r="C67" s="149">
        <v>60</v>
      </c>
      <c r="D67" s="150">
        <f>60*60</f>
        <v>3600</v>
      </c>
      <c r="E67" s="150">
        <v>740</v>
      </c>
      <c r="F67" s="150">
        <f>SUM(D67:E67)</f>
        <v>4340</v>
      </c>
      <c r="G67" s="150"/>
      <c r="H67" s="150">
        <f>F67</f>
        <v>4340</v>
      </c>
      <c r="I67" s="150">
        <f>127.6*0.1*12*1.21+270</f>
        <v>455.27520000000004</v>
      </c>
      <c r="J67" s="150">
        <v>206</v>
      </c>
    </row>
    <row r="68" spans="1:10" ht="30">
      <c r="A68" s="147">
        <v>4</v>
      </c>
      <c r="B68" s="148" t="s">
        <v>218</v>
      </c>
      <c r="C68" s="149">
        <v>80</v>
      </c>
      <c r="D68" s="150">
        <f>820*7</f>
        <v>5740</v>
      </c>
      <c r="E68" s="150">
        <v>1000</v>
      </c>
      <c r="F68" s="150">
        <f>SUM(D68:E68)</f>
        <v>6740</v>
      </c>
      <c r="G68" s="150"/>
      <c r="H68" s="150">
        <f>F68</f>
        <v>6740</v>
      </c>
      <c r="I68" s="150">
        <f>159.26*0.1*12*1.21+315</f>
        <v>546.2455199999999</v>
      </c>
      <c r="J68" s="150">
        <v>250</v>
      </c>
    </row>
    <row r="69" spans="1:10" ht="15.75">
      <c r="A69" s="147">
        <v>5</v>
      </c>
      <c r="B69" s="149" t="s">
        <v>219</v>
      </c>
      <c r="C69" s="149"/>
      <c r="D69" s="150"/>
      <c r="E69" s="150">
        <f>18000+900</f>
        <v>18900</v>
      </c>
      <c r="F69" s="150">
        <f>D69+E69</f>
        <v>18900</v>
      </c>
      <c r="G69" s="150"/>
      <c r="H69" s="150">
        <f>F69</f>
        <v>18900</v>
      </c>
      <c r="I69" s="150"/>
      <c r="J69" s="150"/>
    </row>
    <row r="70" spans="1:10" ht="15.75">
      <c r="A70" s="153" t="s">
        <v>220</v>
      </c>
      <c r="B70" s="155" t="s">
        <v>221</v>
      </c>
      <c r="C70" s="155">
        <f>SUM(C71:C75)</f>
        <v>1242</v>
      </c>
      <c r="D70" s="157">
        <f>SUM(D71:D75)</f>
        <v>54880</v>
      </c>
      <c r="E70" s="157">
        <f>SUM(E71:E75)</f>
        <v>29540</v>
      </c>
      <c r="F70" s="157">
        <f>SUM(F71:F75)</f>
        <v>84420</v>
      </c>
      <c r="G70" s="157"/>
      <c r="H70" s="157">
        <f>SUM(H71:H75)</f>
        <v>84295</v>
      </c>
      <c r="I70" s="157">
        <f>SUM(I71:I75)</f>
        <v>4144.628000000001</v>
      </c>
      <c r="J70" s="157">
        <f>SUM(J71:J75)</f>
        <v>2396</v>
      </c>
    </row>
    <row r="71" spans="1:10" ht="15.75">
      <c r="A71" s="147">
        <v>1</v>
      </c>
      <c r="B71" s="149" t="s">
        <v>222</v>
      </c>
      <c r="C71" s="149">
        <v>318</v>
      </c>
      <c r="D71" s="150">
        <f>318*60</f>
        <v>19080</v>
      </c>
      <c r="E71" s="150">
        <v>1520</v>
      </c>
      <c r="F71" s="150">
        <f>SUM(D71:E71)</f>
        <v>20600</v>
      </c>
      <c r="G71" s="150">
        <v>20</v>
      </c>
      <c r="H71" s="150">
        <v>20475</v>
      </c>
      <c r="I71" s="150">
        <f>789*0.1*12*1.21+2999</f>
        <v>4144.628000000001</v>
      </c>
      <c r="J71" s="150">
        <v>1713</v>
      </c>
    </row>
    <row r="72" spans="1:10" ht="15.75">
      <c r="A72" s="147">
        <v>2</v>
      </c>
      <c r="B72" s="149" t="s">
        <v>223</v>
      </c>
      <c r="C72" s="149">
        <v>84</v>
      </c>
      <c r="D72" s="150">
        <v>4000</v>
      </c>
      <c r="E72" s="150">
        <v>700</v>
      </c>
      <c r="F72" s="150">
        <f>SUM(D72:E72)</f>
        <v>4700</v>
      </c>
      <c r="G72" s="150"/>
      <c r="H72" s="150">
        <f>F72</f>
        <v>4700</v>
      </c>
      <c r="I72" s="150"/>
      <c r="J72" s="150">
        <v>202</v>
      </c>
    </row>
    <row r="73" spans="1:10" ht="15.75">
      <c r="A73" s="147">
        <v>3</v>
      </c>
      <c r="B73" s="149" t="s">
        <v>224</v>
      </c>
      <c r="C73" s="149">
        <v>840</v>
      </c>
      <c r="D73" s="150">
        <v>31800</v>
      </c>
      <c r="E73" s="150">
        <f>3500</f>
        <v>3500</v>
      </c>
      <c r="F73" s="150">
        <f>SUM(D73:E73)</f>
        <v>35300</v>
      </c>
      <c r="G73" s="150"/>
      <c r="H73" s="150">
        <f>F73</f>
        <v>35300</v>
      </c>
      <c r="I73" s="150"/>
      <c r="J73" s="150">
        <v>481</v>
      </c>
    </row>
    <row r="74" spans="1:10" ht="30">
      <c r="A74" s="147">
        <v>4</v>
      </c>
      <c r="B74" s="154" t="s">
        <v>225</v>
      </c>
      <c r="C74" s="149"/>
      <c r="D74" s="150"/>
      <c r="E74" s="150">
        <v>21620</v>
      </c>
      <c r="F74" s="150">
        <f>SUM(D74:E74)</f>
        <v>21620</v>
      </c>
      <c r="G74" s="150"/>
      <c r="H74" s="149">
        <f>F74</f>
        <v>21620</v>
      </c>
      <c r="I74" s="150"/>
      <c r="J74" s="150"/>
    </row>
    <row r="75" spans="1:10" ht="30">
      <c r="A75" s="147">
        <v>5</v>
      </c>
      <c r="B75" s="154" t="s">
        <v>226</v>
      </c>
      <c r="C75" s="149"/>
      <c r="D75" s="150"/>
      <c r="E75" s="150">
        <v>2200</v>
      </c>
      <c r="F75" s="150">
        <f>SUM(D75:E75)</f>
        <v>2200</v>
      </c>
      <c r="G75" s="150"/>
      <c r="H75" s="150">
        <f>F75</f>
        <v>2200</v>
      </c>
      <c r="I75" s="150"/>
      <c r="J75" s="150"/>
    </row>
    <row r="76" spans="1:10" ht="15.75">
      <c r="A76" s="153" t="s">
        <v>227</v>
      </c>
      <c r="B76" s="155" t="s">
        <v>228</v>
      </c>
      <c r="C76" s="155">
        <f>SUM(C77:C80)</f>
        <v>40</v>
      </c>
      <c r="D76" s="157">
        <f>SUM(D77:D80)</f>
        <v>2400</v>
      </c>
      <c r="E76" s="157">
        <f>SUM(E77:E80)</f>
        <v>13687</v>
      </c>
      <c r="F76" s="157">
        <f>SUM(F77:F80)</f>
        <v>16087</v>
      </c>
      <c r="G76" s="157"/>
      <c r="H76" s="157">
        <f>SUM(H77:H80)</f>
        <v>15787</v>
      </c>
      <c r="I76" s="157">
        <f>SUM(I77:I80)</f>
        <v>102.42407999999999</v>
      </c>
      <c r="J76" s="157">
        <f>SUM(J77:J79)</f>
        <v>102</v>
      </c>
    </row>
    <row r="77" spans="1:10" ht="15.75">
      <c r="A77" s="147">
        <v>1</v>
      </c>
      <c r="B77" s="154" t="s">
        <v>229</v>
      </c>
      <c r="C77" s="149"/>
      <c r="D77" s="150"/>
      <c r="E77" s="150">
        <f>12780+627</f>
        <v>13407</v>
      </c>
      <c r="F77" s="150">
        <f>SUM(D77:E77)</f>
        <v>13407</v>
      </c>
      <c r="G77" s="150"/>
      <c r="H77" s="150">
        <f>F77</f>
        <v>13407</v>
      </c>
      <c r="I77" s="150"/>
      <c r="J77" s="150"/>
    </row>
    <row r="78" spans="1:10" ht="30">
      <c r="A78" s="147">
        <v>2</v>
      </c>
      <c r="B78" s="154" t="s">
        <v>230</v>
      </c>
      <c r="C78" s="149">
        <v>11</v>
      </c>
      <c r="D78" s="150">
        <f>11*60</f>
        <v>660</v>
      </c>
      <c r="E78" s="150">
        <v>30</v>
      </c>
      <c r="F78" s="150">
        <f>SUM(D78:E78)</f>
        <v>690</v>
      </c>
      <c r="G78" s="150">
        <v>10</v>
      </c>
      <c r="H78" s="150">
        <f>D78-D78*0.1+E78</f>
        <v>624</v>
      </c>
      <c r="I78" s="150">
        <f>29*0.1*12*1.21</f>
        <v>42.108000000000004</v>
      </c>
      <c r="J78" s="150">
        <v>29</v>
      </c>
    </row>
    <row r="79" spans="1:10" ht="15.75">
      <c r="A79" s="147">
        <v>3</v>
      </c>
      <c r="B79" s="154" t="s">
        <v>231</v>
      </c>
      <c r="C79" s="149">
        <v>16</v>
      </c>
      <c r="D79" s="150">
        <f>16*60</f>
        <v>960</v>
      </c>
      <c r="E79" s="150">
        <v>50</v>
      </c>
      <c r="F79" s="150">
        <f>SUM(D79:E79)</f>
        <v>1010</v>
      </c>
      <c r="G79" s="150"/>
      <c r="H79" s="150">
        <f>F79</f>
        <v>1010</v>
      </c>
      <c r="I79" s="150">
        <f>22.24*0.1*12*1.21</f>
        <v>32.29247999999999</v>
      </c>
      <c r="J79" s="150">
        <v>73</v>
      </c>
    </row>
    <row r="80" spans="1:10" ht="15.75">
      <c r="A80" s="147">
        <v>4</v>
      </c>
      <c r="B80" s="154" t="s">
        <v>232</v>
      </c>
      <c r="C80" s="149">
        <v>13</v>
      </c>
      <c r="D80" s="150">
        <f>13*60</f>
        <v>780</v>
      </c>
      <c r="E80" s="150">
        <v>200</v>
      </c>
      <c r="F80" s="150">
        <f>SUM(D80:E80)</f>
        <v>980</v>
      </c>
      <c r="G80" s="150">
        <v>30</v>
      </c>
      <c r="H80" s="150">
        <f>D80-D80*0.3+E80</f>
        <v>746</v>
      </c>
      <c r="I80" s="150">
        <f>19.3*0.1*12*1.21</f>
        <v>28.023600000000005</v>
      </c>
      <c r="J80" s="150">
        <v>34</v>
      </c>
    </row>
    <row r="81" spans="1:10" ht="28.5">
      <c r="A81" s="153" t="s">
        <v>233</v>
      </c>
      <c r="B81" s="156" t="s">
        <v>234</v>
      </c>
      <c r="C81" s="157">
        <f>SUM(C82:C89)</f>
        <v>144</v>
      </c>
      <c r="D81" s="157">
        <f>SUM(D82:D89)</f>
        <v>9180</v>
      </c>
      <c r="E81" s="157">
        <f>SUM(E82:E89)</f>
        <v>24147</v>
      </c>
      <c r="F81" s="157">
        <f>SUM(F82:F89)</f>
        <v>33327</v>
      </c>
      <c r="G81" s="157"/>
      <c r="H81" s="157">
        <f>SUM(H82:H89)</f>
        <v>33327</v>
      </c>
      <c r="I81" s="157">
        <f>SUM(I82:I89)</f>
        <v>534.2924399999999</v>
      </c>
      <c r="J81" s="157">
        <f>SUM(J82:J89)</f>
        <v>475</v>
      </c>
    </row>
    <row r="82" spans="1:10" ht="15.75">
      <c r="A82" s="147">
        <v>1</v>
      </c>
      <c r="B82" s="149" t="s">
        <v>235</v>
      </c>
      <c r="C82" s="149"/>
      <c r="D82" s="150"/>
      <c r="E82" s="150">
        <f>5500-850</f>
        <v>4650</v>
      </c>
      <c r="F82" s="150">
        <f aca="true" t="shared" si="5" ref="F82:F89">SUM(D82:E82)</f>
        <v>4650</v>
      </c>
      <c r="G82" s="150"/>
      <c r="H82" s="150">
        <f aca="true" t="shared" si="6" ref="H82:H89">F82</f>
        <v>4650</v>
      </c>
      <c r="I82" s="150"/>
      <c r="J82" s="150"/>
    </row>
    <row r="83" spans="1:10" ht="15.75">
      <c r="A83" s="147">
        <v>2</v>
      </c>
      <c r="B83" s="149" t="s">
        <v>236</v>
      </c>
      <c r="C83" s="149">
        <v>17</v>
      </c>
      <c r="D83" s="150">
        <f>17*60</f>
        <v>1020</v>
      </c>
      <c r="E83" s="150">
        <v>760</v>
      </c>
      <c r="F83" s="150">
        <f t="shared" si="5"/>
        <v>1780</v>
      </c>
      <c r="G83" s="150"/>
      <c r="H83" s="150">
        <f t="shared" si="6"/>
        <v>1780</v>
      </c>
      <c r="I83" s="150">
        <f>48.98*0.1*12*1.21</f>
        <v>71.11895999999999</v>
      </c>
      <c r="J83" s="150">
        <v>50</v>
      </c>
    </row>
    <row r="84" spans="1:10" ht="15.75">
      <c r="A84" s="147">
        <v>3</v>
      </c>
      <c r="B84" s="149" t="s">
        <v>237</v>
      </c>
      <c r="C84" s="149">
        <v>25</v>
      </c>
      <c r="D84" s="150">
        <f>25*60</f>
        <v>1500</v>
      </c>
      <c r="E84" s="150">
        <v>2850</v>
      </c>
      <c r="F84" s="150">
        <f t="shared" si="5"/>
        <v>4350</v>
      </c>
      <c r="G84" s="150"/>
      <c r="H84" s="150">
        <f t="shared" si="6"/>
        <v>4350</v>
      </c>
      <c r="I84" s="150">
        <f>55.57*0.1*12*1.21</f>
        <v>80.68763999999999</v>
      </c>
      <c r="J84" s="150">
        <v>91</v>
      </c>
    </row>
    <row r="85" spans="1:10" ht="15.75">
      <c r="A85" s="147">
        <v>4</v>
      </c>
      <c r="B85" s="149" t="s">
        <v>238</v>
      </c>
      <c r="C85" s="149">
        <v>24</v>
      </c>
      <c r="D85" s="150">
        <f>24*60</f>
        <v>1440</v>
      </c>
      <c r="E85" s="150">
        <v>350</v>
      </c>
      <c r="F85" s="150">
        <f t="shared" si="5"/>
        <v>1790</v>
      </c>
      <c r="G85" s="150"/>
      <c r="H85" s="150">
        <f t="shared" si="6"/>
        <v>1790</v>
      </c>
      <c r="I85" s="150">
        <f>62.88*0.1*12*1.21</f>
        <v>91.30176</v>
      </c>
      <c r="J85" s="150">
        <v>77</v>
      </c>
    </row>
    <row r="86" spans="1:10" ht="30">
      <c r="A86" s="147">
        <v>5</v>
      </c>
      <c r="B86" s="148" t="s">
        <v>239</v>
      </c>
      <c r="C86" s="149">
        <v>16</v>
      </c>
      <c r="D86" s="150">
        <f>16*60</f>
        <v>960</v>
      </c>
      <c r="E86" s="150"/>
      <c r="F86" s="150">
        <f t="shared" si="5"/>
        <v>960</v>
      </c>
      <c r="G86" s="150"/>
      <c r="H86" s="150">
        <f t="shared" si="6"/>
        <v>960</v>
      </c>
      <c r="I86" s="150">
        <f>50.4*0.1*12*1.21</f>
        <v>73.1808</v>
      </c>
      <c r="J86" s="150">
        <v>43</v>
      </c>
    </row>
    <row r="87" spans="1:10" ht="15.75">
      <c r="A87" s="147">
        <v>6</v>
      </c>
      <c r="B87" s="149" t="s">
        <v>240</v>
      </c>
      <c r="C87" s="149">
        <v>10</v>
      </c>
      <c r="D87" s="150">
        <v>1140</v>
      </c>
      <c r="E87" s="150">
        <v>950</v>
      </c>
      <c r="F87" s="150">
        <f t="shared" si="5"/>
        <v>2090</v>
      </c>
      <c r="G87" s="150"/>
      <c r="H87" s="150">
        <f t="shared" si="6"/>
        <v>2090</v>
      </c>
      <c r="I87" s="150">
        <f>31.6*0.1*12*1.21</f>
        <v>45.8832</v>
      </c>
      <c r="J87" s="150">
        <v>27</v>
      </c>
    </row>
    <row r="88" spans="1:10" ht="15.75">
      <c r="A88" s="147">
        <v>7</v>
      </c>
      <c r="B88" s="149" t="s">
        <v>241</v>
      </c>
      <c r="C88" s="149">
        <v>39</v>
      </c>
      <c r="D88" s="150">
        <f>39*60</f>
        <v>2340</v>
      </c>
      <c r="E88" s="150">
        <v>14237</v>
      </c>
      <c r="F88" s="150">
        <f t="shared" si="5"/>
        <v>16577</v>
      </c>
      <c r="G88" s="150"/>
      <c r="H88" s="150">
        <f t="shared" si="6"/>
        <v>16577</v>
      </c>
      <c r="I88" s="150">
        <f>88.14*0.1*12*1.21</f>
        <v>127.97928</v>
      </c>
      <c r="J88" s="150">
        <v>141</v>
      </c>
    </row>
    <row r="89" spans="1:10" ht="15.75">
      <c r="A89" s="147">
        <v>8</v>
      </c>
      <c r="B89" s="149" t="s">
        <v>242</v>
      </c>
      <c r="C89" s="149">
        <v>13</v>
      </c>
      <c r="D89" s="150">
        <f>13*60</f>
        <v>780</v>
      </c>
      <c r="E89" s="150">
        <v>350</v>
      </c>
      <c r="F89" s="150">
        <f t="shared" si="5"/>
        <v>1130</v>
      </c>
      <c r="G89" s="150"/>
      <c r="H89" s="150">
        <f t="shared" si="6"/>
        <v>1130</v>
      </c>
      <c r="I89" s="150">
        <f>30.4*0.1*12*1.21</f>
        <v>44.140800000000006</v>
      </c>
      <c r="J89" s="150">
        <v>46</v>
      </c>
    </row>
    <row r="90" spans="1:10" ht="15.75">
      <c r="A90" s="153" t="s">
        <v>243</v>
      </c>
      <c r="B90" s="155" t="s">
        <v>244</v>
      </c>
      <c r="C90" s="155">
        <f>C91</f>
        <v>123</v>
      </c>
      <c r="D90" s="157">
        <f>D91</f>
        <v>7380</v>
      </c>
      <c r="E90" s="157">
        <f>E91</f>
        <v>10834</v>
      </c>
      <c r="F90" s="157">
        <f>F91</f>
        <v>18214</v>
      </c>
      <c r="G90" s="157"/>
      <c r="H90" s="157">
        <f>H91</f>
        <v>16000</v>
      </c>
      <c r="I90" s="157">
        <f>I91</f>
        <v>525.07224</v>
      </c>
      <c r="J90" s="157">
        <f>J91</f>
        <v>133</v>
      </c>
    </row>
    <row r="91" spans="1:10" ht="15.75">
      <c r="A91" s="147">
        <v>1</v>
      </c>
      <c r="B91" s="149" t="s">
        <v>245</v>
      </c>
      <c r="C91" s="149">
        <v>123</v>
      </c>
      <c r="D91" s="150">
        <f>123*60</f>
        <v>7380</v>
      </c>
      <c r="E91" s="150">
        <v>10834</v>
      </c>
      <c r="F91" s="150">
        <f>SUM(D91:E91)</f>
        <v>18214</v>
      </c>
      <c r="G91" s="150">
        <v>30</v>
      </c>
      <c r="H91" s="150">
        <f>D91-D91*0.3+E91</f>
        <v>16000</v>
      </c>
      <c r="I91" s="150">
        <f>361.62*0.1*12*1.21</f>
        <v>525.07224</v>
      </c>
      <c r="J91" s="150">
        <v>133</v>
      </c>
    </row>
    <row r="92" spans="1:10" ht="15.75">
      <c r="A92" s="153" t="s">
        <v>246</v>
      </c>
      <c r="B92" s="155" t="s">
        <v>247</v>
      </c>
      <c r="C92" s="157">
        <f>SUM(C93:C106)</f>
        <v>77</v>
      </c>
      <c r="D92" s="157">
        <f>SUM(D93:D106)</f>
        <v>4850</v>
      </c>
      <c r="E92" s="157">
        <f>SUM(E93:E106)</f>
        <v>50387</v>
      </c>
      <c r="F92" s="157">
        <f>SUM(F93:F106)</f>
        <v>55237</v>
      </c>
      <c r="G92" s="157"/>
      <c r="H92" s="157">
        <f>SUM(H93:H106)</f>
        <v>54223</v>
      </c>
      <c r="I92" s="157">
        <f>SUM(I93:I106)</f>
        <v>862.39676</v>
      </c>
      <c r="J92" s="157">
        <f>SUM(J93:J106)</f>
        <v>144</v>
      </c>
    </row>
    <row r="93" spans="1:10" ht="15.75">
      <c r="A93" s="147">
        <v>1</v>
      </c>
      <c r="B93" s="149" t="s">
        <v>248</v>
      </c>
      <c r="C93" s="149">
        <v>42</v>
      </c>
      <c r="D93" s="150">
        <f>42*60</f>
        <v>2520</v>
      </c>
      <c r="E93" s="150">
        <v>1100</v>
      </c>
      <c r="F93" s="150">
        <f>SUM(D93:E93)</f>
        <v>3620</v>
      </c>
      <c r="G93" s="150">
        <v>20</v>
      </c>
      <c r="H93" s="150">
        <f>D93-D93*0.2+E93</f>
        <v>3116</v>
      </c>
      <c r="I93" s="150">
        <f>111.74*0.1*12*1.21+566</f>
        <v>728.24648</v>
      </c>
      <c r="J93" s="150">
        <v>83</v>
      </c>
    </row>
    <row r="94" spans="1:10" ht="15.75">
      <c r="A94" s="147">
        <v>2</v>
      </c>
      <c r="B94" s="149" t="s">
        <v>249</v>
      </c>
      <c r="C94" s="149">
        <v>17</v>
      </c>
      <c r="D94" s="150">
        <f>17*60</f>
        <v>1020</v>
      </c>
      <c r="E94" s="150"/>
      <c r="F94" s="150">
        <f>SUM(D94:E94)</f>
        <v>1020</v>
      </c>
      <c r="G94" s="150">
        <v>50</v>
      </c>
      <c r="H94" s="150">
        <f>D94-D94*0.5</f>
        <v>510</v>
      </c>
      <c r="I94" s="150">
        <f>33.17*0.1*12*1.21</f>
        <v>48.16284</v>
      </c>
      <c r="J94" s="150">
        <v>16</v>
      </c>
    </row>
    <row r="95" spans="1:10" ht="30">
      <c r="A95" s="147">
        <v>3</v>
      </c>
      <c r="B95" s="148" t="s">
        <v>250</v>
      </c>
      <c r="C95" s="149">
        <v>18</v>
      </c>
      <c r="D95" s="150">
        <v>1310</v>
      </c>
      <c r="E95" s="150">
        <v>300</v>
      </c>
      <c r="F95" s="150">
        <f>SUM(D95:E95)</f>
        <v>1610</v>
      </c>
      <c r="G95" s="150"/>
      <c r="H95" s="150">
        <f aca="true" t="shared" si="7" ref="H95:H106">F95</f>
        <v>1610</v>
      </c>
      <c r="I95" s="150">
        <f>59.22*0.1*12*1.21</f>
        <v>85.98744</v>
      </c>
      <c r="J95" s="150">
        <v>45</v>
      </c>
    </row>
    <row r="96" spans="1:10" ht="30">
      <c r="A96" s="147">
        <v>4</v>
      </c>
      <c r="B96" s="148" t="s">
        <v>251</v>
      </c>
      <c r="C96" s="149"/>
      <c r="D96" s="150"/>
      <c r="E96" s="150">
        <v>7000</v>
      </c>
      <c r="F96" s="150">
        <f>D96+E96</f>
        <v>7000</v>
      </c>
      <c r="G96" s="150"/>
      <c r="H96" s="150">
        <f t="shared" si="7"/>
        <v>7000</v>
      </c>
      <c r="I96" s="150"/>
      <c r="J96" s="150"/>
    </row>
    <row r="97" spans="1:10" ht="30">
      <c r="A97" s="147">
        <v>5</v>
      </c>
      <c r="B97" s="148" t="s">
        <v>252</v>
      </c>
      <c r="C97" s="149"/>
      <c r="D97" s="150"/>
      <c r="E97" s="150">
        <v>140</v>
      </c>
      <c r="F97" s="150">
        <f>D97+E97</f>
        <v>140</v>
      </c>
      <c r="G97" s="150"/>
      <c r="H97" s="150">
        <f t="shared" si="7"/>
        <v>140</v>
      </c>
      <c r="I97" s="150"/>
      <c r="J97" s="150"/>
    </row>
    <row r="98" spans="1:10" ht="15.75">
      <c r="A98" s="147">
        <v>6</v>
      </c>
      <c r="B98" s="149" t="s">
        <v>253</v>
      </c>
      <c r="C98" s="149"/>
      <c r="D98" s="150"/>
      <c r="E98" s="150">
        <v>300</v>
      </c>
      <c r="F98" s="150">
        <f>D98+E98</f>
        <v>300</v>
      </c>
      <c r="G98" s="150"/>
      <c r="H98" s="150">
        <f t="shared" si="7"/>
        <v>300</v>
      </c>
      <c r="I98" s="150"/>
      <c r="J98" s="150"/>
    </row>
    <row r="99" spans="1:10" ht="15.75">
      <c r="A99" s="147">
        <v>7</v>
      </c>
      <c r="B99" s="149" t="s">
        <v>254</v>
      </c>
      <c r="C99" s="149"/>
      <c r="D99" s="150"/>
      <c r="E99" s="150">
        <v>650</v>
      </c>
      <c r="F99" s="150">
        <f>D99+E99</f>
        <v>650</v>
      </c>
      <c r="G99" s="150"/>
      <c r="H99" s="150">
        <f t="shared" si="7"/>
        <v>650</v>
      </c>
      <c r="I99" s="150"/>
      <c r="J99" s="150"/>
    </row>
    <row r="100" spans="1:10" ht="15.75">
      <c r="A100" s="147">
        <v>8</v>
      </c>
      <c r="B100" s="148" t="s">
        <v>255</v>
      </c>
      <c r="C100" s="149"/>
      <c r="D100" s="150"/>
      <c r="E100" s="150">
        <v>240</v>
      </c>
      <c r="F100" s="150">
        <f>D100+E100</f>
        <v>240</v>
      </c>
      <c r="G100" s="150"/>
      <c r="H100" s="150">
        <f t="shared" si="7"/>
        <v>240</v>
      </c>
      <c r="I100" s="150"/>
      <c r="J100" s="150"/>
    </row>
    <row r="101" spans="1:10" ht="30">
      <c r="A101" s="147">
        <v>9</v>
      </c>
      <c r="B101" s="148" t="s">
        <v>256</v>
      </c>
      <c r="C101" s="149"/>
      <c r="D101" s="150"/>
      <c r="E101" s="150">
        <v>250</v>
      </c>
      <c r="F101" s="150">
        <v>250</v>
      </c>
      <c r="G101" s="150"/>
      <c r="H101" s="150">
        <f t="shared" si="7"/>
        <v>250</v>
      </c>
      <c r="I101" s="150"/>
      <c r="J101" s="150"/>
    </row>
    <row r="102" spans="1:10" ht="15.75">
      <c r="A102" s="147">
        <v>10</v>
      </c>
      <c r="B102" s="149" t="s">
        <v>257</v>
      </c>
      <c r="C102" s="149"/>
      <c r="D102" s="150"/>
      <c r="E102" s="150">
        <v>25005</v>
      </c>
      <c r="F102" s="150">
        <f>D102+E102</f>
        <v>25005</v>
      </c>
      <c r="G102" s="150"/>
      <c r="H102" s="149">
        <f t="shared" si="7"/>
        <v>25005</v>
      </c>
      <c r="I102" s="150"/>
      <c r="J102" s="150"/>
    </row>
    <row r="103" spans="1:10" ht="30">
      <c r="A103" s="147">
        <v>11</v>
      </c>
      <c r="B103" s="148" t="s">
        <v>258</v>
      </c>
      <c r="C103" s="149"/>
      <c r="D103" s="150"/>
      <c r="E103" s="150">
        <v>3000</v>
      </c>
      <c r="F103" s="150">
        <f>D103+E103</f>
        <v>3000</v>
      </c>
      <c r="G103" s="150"/>
      <c r="H103" s="149">
        <f t="shared" si="7"/>
        <v>3000</v>
      </c>
      <c r="I103" s="150"/>
      <c r="J103" s="150"/>
    </row>
    <row r="104" spans="1:10" ht="15.75">
      <c r="A104" s="147">
        <v>12</v>
      </c>
      <c r="B104" s="148" t="s">
        <v>259</v>
      </c>
      <c r="C104" s="149"/>
      <c r="D104" s="150"/>
      <c r="E104" s="150">
        <v>5000</v>
      </c>
      <c r="F104" s="150">
        <f>D104+E104</f>
        <v>5000</v>
      </c>
      <c r="G104" s="150"/>
      <c r="H104" s="149">
        <f t="shared" si="7"/>
        <v>5000</v>
      </c>
      <c r="I104" s="150"/>
      <c r="J104" s="150"/>
    </row>
    <row r="105" spans="1:10" ht="15.75">
      <c r="A105" s="147">
        <v>13</v>
      </c>
      <c r="B105" s="148" t="s">
        <v>260</v>
      </c>
      <c r="C105" s="149"/>
      <c r="D105" s="150"/>
      <c r="E105" s="150">
        <v>3402</v>
      </c>
      <c r="F105" s="150">
        <f>D105+E105</f>
        <v>3402</v>
      </c>
      <c r="G105" s="150"/>
      <c r="H105" s="149">
        <f t="shared" si="7"/>
        <v>3402</v>
      </c>
      <c r="I105" s="150"/>
      <c r="J105" s="150"/>
    </row>
    <row r="106" spans="1:10" ht="15.75">
      <c r="A106" s="147">
        <v>14</v>
      </c>
      <c r="B106" s="148" t="s">
        <v>261</v>
      </c>
      <c r="C106" s="149"/>
      <c r="D106" s="150"/>
      <c r="E106" s="150">
        <v>4000</v>
      </c>
      <c r="F106" s="150">
        <f>D106+E106</f>
        <v>4000</v>
      </c>
      <c r="G106" s="150"/>
      <c r="H106" s="149">
        <f t="shared" si="7"/>
        <v>4000</v>
      </c>
      <c r="I106" s="150"/>
      <c r="J106" s="150"/>
    </row>
    <row r="107" spans="1:10" ht="15.75">
      <c r="A107" s="153" t="s">
        <v>262</v>
      </c>
      <c r="B107" s="155" t="s">
        <v>263</v>
      </c>
      <c r="C107" s="157">
        <f aca="true" t="shared" si="8" ref="C107:J107">C108+C134+C135+C144</f>
        <v>1327</v>
      </c>
      <c r="D107" s="157">
        <f t="shared" si="8"/>
        <v>99468</v>
      </c>
      <c r="E107" s="157">
        <f t="shared" si="8"/>
        <v>92614</v>
      </c>
      <c r="F107" s="157">
        <f t="shared" si="8"/>
        <v>192082</v>
      </c>
      <c r="G107" s="157">
        <f t="shared" si="8"/>
        <v>0</v>
      </c>
      <c r="H107" s="157">
        <f t="shared" si="8"/>
        <v>191872</v>
      </c>
      <c r="I107" s="157">
        <f t="shared" si="8"/>
        <v>12010.230280000002</v>
      </c>
      <c r="J107" s="157">
        <f t="shared" si="8"/>
        <v>5682</v>
      </c>
    </row>
    <row r="108" spans="1:10" ht="15.75">
      <c r="A108" s="153" t="s">
        <v>264</v>
      </c>
      <c r="B108" s="155" t="s">
        <v>265</v>
      </c>
      <c r="C108" s="155">
        <f>SUM(C109:C133)</f>
        <v>1100</v>
      </c>
      <c r="D108" s="157">
        <f>SUM(D109:D133)</f>
        <v>66480</v>
      </c>
      <c r="E108" s="157">
        <f>SUM(E109:E133)</f>
        <v>35548</v>
      </c>
      <c r="F108" s="157">
        <f>SUM(F109:F133)</f>
        <v>102028</v>
      </c>
      <c r="G108" s="157"/>
      <c r="H108" s="157">
        <f>SUM(H109:H133)</f>
        <v>101818</v>
      </c>
      <c r="I108" s="157">
        <f>SUM(I109:I133)</f>
        <v>6171.524040000001</v>
      </c>
      <c r="J108" s="157">
        <f>SUM(J109:J133)</f>
        <v>3094</v>
      </c>
    </row>
    <row r="109" spans="1:10" ht="15.75">
      <c r="A109" s="147">
        <v>1</v>
      </c>
      <c r="B109" s="154" t="s">
        <v>266</v>
      </c>
      <c r="C109" s="149">
        <v>22</v>
      </c>
      <c r="D109" s="150">
        <f>22*60</f>
        <v>1320</v>
      </c>
      <c r="E109" s="150">
        <v>800</v>
      </c>
      <c r="F109" s="150">
        <f aca="true" t="shared" si="9" ref="F109:F133">SUM(D109:E109)</f>
        <v>2120</v>
      </c>
      <c r="G109" s="150"/>
      <c r="H109" s="150">
        <f aca="true" t="shared" si="10" ref="H109:H118">F109</f>
        <v>2120</v>
      </c>
      <c r="I109" s="150">
        <f>70.29*0.1*12*1.21</f>
        <v>102.06108000000002</v>
      </c>
      <c r="J109" s="150">
        <v>58</v>
      </c>
    </row>
    <row r="110" spans="1:10" ht="15.75">
      <c r="A110" s="147">
        <v>2</v>
      </c>
      <c r="B110" s="154" t="s">
        <v>267</v>
      </c>
      <c r="C110" s="149">
        <v>92</v>
      </c>
      <c r="D110" s="150">
        <f>92*60</f>
        <v>5520</v>
      </c>
      <c r="E110" s="150">
        <v>1780</v>
      </c>
      <c r="F110" s="150">
        <f t="shared" si="9"/>
        <v>7300</v>
      </c>
      <c r="G110" s="150"/>
      <c r="H110" s="150">
        <f t="shared" si="10"/>
        <v>7300</v>
      </c>
      <c r="I110" s="150">
        <v>1010</v>
      </c>
      <c r="J110" s="150">
        <v>281</v>
      </c>
    </row>
    <row r="111" spans="1:10" ht="15.75">
      <c r="A111" s="147">
        <v>3</v>
      </c>
      <c r="B111" s="149" t="s">
        <v>268</v>
      </c>
      <c r="C111" s="149">
        <v>16</v>
      </c>
      <c r="D111" s="150">
        <f>16*60</f>
        <v>960</v>
      </c>
      <c r="E111" s="150">
        <v>420</v>
      </c>
      <c r="F111" s="150">
        <f t="shared" si="9"/>
        <v>1380</v>
      </c>
      <c r="G111" s="150"/>
      <c r="H111" s="150">
        <f t="shared" si="10"/>
        <v>1380</v>
      </c>
      <c r="I111" s="150">
        <f>42.63*0.1*12*1.21</f>
        <v>61.89876</v>
      </c>
      <c r="J111" s="150">
        <v>51</v>
      </c>
    </row>
    <row r="112" spans="1:10" ht="15.75">
      <c r="A112" s="147">
        <v>4</v>
      </c>
      <c r="B112" s="154" t="s">
        <v>269</v>
      </c>
      <c r="C112" s="149">
        <v>41</v>
      </c>
      <c r="D112" s="150">
        <f>41*60</f>
        <v>2460</v>
      </c>
      <c r="E112" s="150">
        <v>300</v>
      </c>
      <c r="F112" s="150">
        <f t="shared" si="9"/>
        <v>2760</v>
      </c>
      <c r="G112" s="150"/>
      <c r="H112" s="150">
        <f t="shared" si="10"/>
        <v>2760</v>
      </c>
      <c r="I112" s="150">
        <f>92.57*0.1*12*1.21</f>
        <v>134.41164</v>
      </c>
      <c r="J112" s="150">
        <v>148</v>
      </c>
    </row>
    <row r="113" spans="1:10" ht="15.75">
      <c r="A113" s="147">
        <v>5</v>
      </c>
      <c r="B113" s="154" t="s">
        <v>270</v>
      </c>
      <c r="C113" s="149">
        <v>43</v>
      </c>
      <c r="D113" s="150">
        <f>43*60</f>
        <v>2580</v>
      </c>
      <c r="E113" s="150">
        <v>1100</v>
      </c>
      <c r="F113" s="150">
        <f t="shared" si="9"/>
        <v>3680</v>
      </c>
      <c r="G113" s="150"/>
      <c r="H113" s="150">
        <f t="shared" si="10"/>
        <v>3680</v>
      </c>
      <c r="I113" s="150">
        <f>139.89*0.1*12*1.21</f>
        <v>203.12027999999998</v>
      </c>
      <c r="J113" s="150">
        <v>120</v>
      </c>
    </row>
    <row r="114" spans="1:10" ht="15.75">
      <c r="A114" s="147">
        <v>6</v>
      </c>
      <c r="B114" s="154" t="s">
        <v>210</v>
      </c>
      <c r="C114" s="149">
        <v>61</v>
      </c>
      <c r="D114" s="150">
        <f>61*60</f>
        <v>3660</v>
      </c>
      <c r="E114" s="150">
        <v>496</v>
      </c>
      <c r="F114" s="150">
        <f t="shared" si="9"/>
        <v>4156</v>
      </c>
      <c r="G114" s="150"/>
      <c r="H114" s="150">
        <f t="shared" si="10"/>
        <v>4156</v>
      </c>
      <c r="I114" s="150">
        <f>214.72*0.1*12*1.21</f>
        <v>311.77344</v>
      </c>
      <c r="J114" s="150">
        <v>139</v>
      </c>
    </row>
    <row r="115" spans="1:10" ht="15.75">
      <c r="A115" s="147">
        <v>7</v>
      </c>
      <c r="B115" s="154" t="s">
        <v>271</v>
      </c>
      <c r="C115" s="149">
        <v>32</v>
      </c>
      <c r="D115" s="150">
        <f>32*60</f>
        <v>1920</v>
      </c>
      <c r="E115" s="150">
        <v>140</v>
      </c>
      <c r="F115" s="150">
        <f t="shared" si="9"/>
        <v>2060</v>
      </c>
      <c r="G115" s="150"/>
      <c r="H115" s="150">
        <f t="shared" si="10"/>
        <v>2060</v>
      </c>
      <c r="I115" s="150">
        <f>106.54*0.1*12*1.21</f>
        <v>154.69608000000002</v>
      </c>
      <c r="J115" s="150">
        <v>79</v>
      </c>
    </row>
    <row r="116" spans="1:10" ht="15.75">
      <c r="A116" s="147">
        <v>8</v>
      </c>
      <c r="B116" s="154" t="s">
        <v>272</v>
      </c>
      <c r="C116" s="149">
        <v>52</v>
      </c>
      <c r="D116" s="150">
        <f>52*60</f>
        <v>3120</v>
      </c>
      <c r="E116" s="150">
        <v>650</v>
      </c>
      <c r="F116" s="150">
        <f t="shared" si="9"/>
        <v>3770</v>
      </c>
      <c r="G116" s="150"/>
      <c r="H116" s="150">
        <f t="shared" si="10"/>
        <v>3770</v>
      </c>
      <c r="I116" s="150">
        <f>155.7*0.1*12*1.21</f>
        <v>226.0764</v>
      </c>
      <c r="J116" s="150">
        <v>147</v>
      </c>
    </row>
    <row r="117" spans="1:10" ht="15.75">
      <c r="A117" s="147">
        <v>9</v>
      </c>
      <c r="B117" s="154" t="s">
        <v>229</v>
      </c>
      <c r="C117" s="149">
        <v>29</v>
      </c>
      <c r="D117" s="150">
        <f>29*60</f>
        <v>1740</v>
      </c>
      <c r="E117" s="150">
        <v>100</v>
      </c>
      <c r="F117" s="150">
        <f t="shared" si="9"/>
        <v>1840</v>
      </c>
      <c r="G117" s="150"/>
      <c r="H117" s="150">
        <f t="shared" si="10"/>
        <v>1840</v>
      </c>
      <c r="I117" s="150">
        <f>95.8*0.1*12*1.21</f>
        <v>139.10160000000002</v>
      </c>
      <c r="J117" s="150">
        <v>72</v>
      </c>
    </row>
    <row r="118" spans="1:10" ht="15.75">
      <c r="A118" s="147">
        <v>10</v>
      </c>
      <c r="B118" s="154" t="s">
        <v>273</v>
      </c>
      <c r="C118" s="149">
        <v>67</v>
      </c>
      <c r="D118" s="150">
        <f>67*60</f>
        <v>4020</v>
      </c>
      <c r="E118" s="150"/>
      <c r="F118" s="150">
        <f t="shared" si="9"/>
        <v>4020</v>
      </c>
      <c r="G118" s="150"/>
      <c r="H118" s="150">
        <f t="shared" si="10"/>
        <v>4020</v>
      </c>
      <c r="I118" s="150">
        <f>227.2*0.1*12*1.21</f>
        <v>329.89439999999996</v>
      </c>
      <c r="J118" s="150">
        <v>161</v>
      </c>
    </row>
    <row r="119" spans="1:10" ht="15.75">
      <c r="A119" s="147">
        <v>11</v>
      </c>
      <c r="B119" s="154" t="s">
        <v>274</v>
      </c>
      <c r="C119" s="149">
        <v>107</v>
      </c>
      <c r="D119" s="150">
        <v>6660</v>
      </c>
      <c r="E119" s="150">
        <v>5140</v>
      </c>
      <c r="F119" s="150">
        <f t="shared" si="9"/>
        <v>11800</v>
      </c>
      <c r="G119" s="150">
        <v>10</v>
      </c>
      <c r="H119" s="150">
        <v>11590</v>
      </c>
      <c r="I119" s="150">
        <v>357</v>
      </c>
      <c r="J119" s="150">
        <v>376</v>
      </c>
    </row>
    <row r="120" spans="1:10" ht="15.75">
      <c r="A120" s="147">
        <v>12</v>
      </c>
      <c r="B120" s="154" t="s">
        <v>275</v>
      </c>
      <c r="C120" s="149">
        <v>47</v>
      </c>
      <c r="D120" s="150">
        <f>47*60</f>
        <v>2820</v>
      </c>
      <c r="E120" s="150">
        <v>182</v>
      </c>
      <c r="F120" s="150">
        <f t="shared" si="9"/>
        <v>3002</v>
      </c>
      <c r="G120" s="150"/>
      <c r="H120" s="150">
        <f aca="true" t="shared" si="11" ref="H120:H134">F120</f>
        <v>3002</v>
      </c>
      <c r="I120" s="150">
        <f>130.09*0.1*12*1.21+149</f>
        <v>337.89068</v>
      </c>
      <c r="J120" s="150">
        <v>144</v>
      </c>
    </row>
    <row r="121" spans="1:10" ht="15.75">
      <c r="A121" s="147">
        <v>13</v>
      </c>
      <c r="B121" s="154" t="s">
        <v>276</v>
      </c>
      <c r="C121" s="149">
        <v>57</v>
      </c>
      <c r="D121" s="150">
        <f>57*60</f>
        <v>3420</v>
      </c>
      <c r="E121" s="150">
        <v>350</v>
      </c>
      <c r="F121" s="150">
        <f t="shared" si="9"/>
        <v>3770</v>
      </c>
      <c r="G121" s="150"/>
      <c r="H121" s="150">
        <f t="shared" si="11"/>
        <v>3770</v>
      </c>
      <c r="I121" s="150">
        <f>200.07*0.1*12*1.21</f>
        <v>290.50164</v>
      </c>
      <c r="J121" s="150">
        <v>130</v>
      </c>
    </row>
    <row r="122" spans="1:10" ht="15.75">
      <c r="A122" s="147">
        <v>14</v>
      </c>
      <c r="B122" s="154" t="s">
        <v>277</v>
      </c>
      <c r="C122" s="149">
        <v>48</v>
      </c>
      <c r="D122" s="150">
        <f>48*60</f>
        <v>2880</v>
      </c>
      <c r="E122" s="150">
        <v>230</v>
      </c>
      <c r="F122" s="150">
        <f t="shared" si="9"/>
        <v>3110</v>
      </c>
      <c r="G122" s="150"/>
      <c r="H122" s="150">
        <f t="shared" si="11"/>
        <v>3110</v>
      </c>
      <c r="I122" s="150">
        <f>142*0.1*12*1.21</f>
        <v>206.184</v>
      </c>
      <c r="J122" s="150">
        <v>137</v>
      </c>
    </row>
    <row r="123" spans="1:10" ht="15.75">
      <c r="A123" s="147">
        <v>15</v>
      </c>
      <c r="B123" s="154" t="s">
        <v>278</v>
      </c>
      <c r="C123" s="149">
        <v>34</v>
      </c>
      <c r="D123" s="150">
        <f>34*60</f>
        <v>2040</v>
      </c>
      <c r="E123" s="150">
        <f>1410+240</f>
        <v>1650</v>
      </c>
      <c r="F123" s="150">
        <f t="shared" si="9"/>
        <v>3690</v>
      </c>
      <c r="G123" s="150"/>
      <c r="H123" s="150">
        <f t="shared" si="11"/>
        <v>3690</v>
      </c>
      <c r="I123" s="150">
        <f>85.55*0.1*12*1.21</f>
        <v>124.2186</v>
      </c>
      <c r="J123" s="150">
        <v>113</v>
      </c>
    </row>
    <row r="124" spans="1:10" ht="15.75">
      <c r="A124" s="147">
        <v>16</v>
      </c>
      <c r="B124" s="154" t="s">
        <v>279</v>
      </c>
      <c r="C124" s="149">
        <v>35</v>
      </c>
      <c r="D124" s="150">
        <f>35*60</f>
        <v>2100</v>
      </c>
      <c r="E124" s="150">
        <v>200</v>
      </c>
      <c r="F124" s="150">
        <f t="shared" si="9"/>
        <v>2300</v>
      </c>
      <c r="G124" s="150"/>
      <c r="H124" s="150">
        <f t="shared" si="11"/>
        <v>2300</v>
      </c>
      <c r="I124" s="150">
        <f>99.91*0.1*12*1.21</f>
        <v>145.06932</v>
      </c>
      <c r="J124" s="150">
        <v>90</v>
      </c>
    </row>
    <row r="125" spans="1:10" ht="15.75">
      <c r="A125" s="147">
        <v>17</v>
      </c>
      <c r="B125" s="154" t="s">
        <v>280</v>
      </c>
      <c r="C125" s="149">
        <v>35</v>
      </c>
      <c r="D125" s="150">
        <f>35*60</f>
        <v>2100</v>
      </c>
      <c r="E125" s="150">
        <v>1800</v>
      </c>
      <c r="F125" s="150">
        <f t="shared" si="9"/>
        <v>3900</v>
      </c>
      <c r="G125" s="150"/>
      <c r="H125" s="150">
        <f t="shared" si="11"/>
        <v>3900</v>
      </c>
      <c r="I125" s="150">
        <f>527-354</f>
        <v>173</v>
      </c>
      <c r="J125" s="150">
        <v>84</v>
      </c>
    </row>
    <row r="126" spans="1:10" ht="15.75">
      <c r="A126" s="147">
        <v>18</v>
      </c>
      <c r="B126" s="154" t="s">
        <v>281</v>
      </c>
      <c r="C126" s="149">
        <v>39</v>
      </c>
      <c r="D126" s="150">
        <f>39*60</f>
        <v>2340</v>
      </c>
      <c r="E126" s="150">
        <v>850</v>
      </c>
      <c r="F126" s="150">
        <f t="shared" si="9"/>
        <v>3190</v>
      </c>
      <c r="G126" s="150"/>
      <c r="H126" s="150">
        <f t="shared" si="11"/>
        <v>3190</v>
      </c>
      <c r="I126" s="150">
        <v>160</v>
      </c>
      <c r="J126" s="150">
        <v>117</v>
      </c>
    </row>
    <row r="127" spans="1:10" ht="15.75">
      <c r="A127" s="147">
        <v>19</v>
      </c>
      <c r="B127" s="154" t="s">
        <v>282</v>
      </c>
      <c r="C127" s="149">
        <v>51</v>
      </c>
      <c r="D127" s="150">
        <f>51*60</f>
        <v>3060</v>
      </c>
      <c r="E127" s="150">
        <v>300</v>
      </c>
      <c r="F127" s="150">
        <f t="shared" si="9"/>
        <v>3360</v>
      </c>
      <c r="G127" s="150"/>
      <c r="H127" s="150">
        <f t="shared" si="11"/>
        <v>3360</v>
      </c>
      <c r="I127" s="150">
        <f>159.63*0.1*12*1.21</f>
        <v>231.78276</v>
      </c>
      <c r="J127" s="150">
        <v>137</v>
      </c>
    </row>
    <row r="128" spans="1:10" ht="15.75">
      <c r="A128" s="147">
        <v>20</v>
      </c>
      <c r="B128" s="154" t="s">
        <v>283</v>
      </c>
      <c r="C128" s="149">
        <v>37</v>
      </c>
      <c r="D128" s="150">
        <f>37*60</f>
        <v>2220</v>
      </c>
      <c r="E128" s="150">
        <v>5000</v>
      </c>
      <c r="F128" s="150">
        <f t="shared" si="9"/>
        <v>7220</v>
      </c>
      <c r="G128" s="150"/>
      <c r="H128" s="150">
        <f t="shared" si="11"/>
        <v>7220</v>
      </c>
      <c r="I128" s="150">
        <f>135.79*0.1*12*1.21+560</f>
        <v>757.1670799999999</v>
      </c>
      <c r="J128" s="150">
        <v>78</v>
      </c>
    </row>
    <row r="129" spans="1:10" ht="15.75">
      <c r="A129" s="147">
        <v>21</v>
      </c>
      <c r="B129" s="154" t="s">
        <v>284</v>
      </c>
      <c r="C129" s="149">
        <v>80</v>
      </c>
      <c r="D129" s="150">
        <f>80*60</f>
        <v>4800</v>
      </c>
      <c r="E129" s="150">
        <v>10000</v>
      </c>
      <c r="F129" s="150">
        <f t="shared" si="9"/>
        <v>14800</v>
      </c>
      <c r="G129" s="150"/>
      <c r="H129" s="150">
        <f t="shared" si="11"/>
        <v>14800</v>
      </c>
      <c r="I129" s="150">
        <f>290.96*0.1*12*1.21</f>
        <v>422.47391999999996</v>
      </c>
      <c r="J129" s="150">
        <v>172</v>
      </c>
    </row>
    <row r="130" spans="1:10" ht="15.75">
      <c r="A130" s="147">
        <v>22</v>
      </c>
      <c r="B130" s="154" t="s">
        <v>285</v>
      </c>
      <c r="C130" s="149">
        <v>8</v>
      </c>
      <c r="D130" s="150">
        <f>12*60</f>
        <v>720</v>
      </c>
      <c r="E130" s="150">
        <v>1050</v>
      </c>
      <c r="F130" s="150">
        <f t="shared" si="9"/>
        <v>1770</v>
      </c>
      <c r="G130" s="150"/>
      <c r="H130" s="150">
        <f t="shared" si="11"/>
        <v>1770</v>
      </c>
      <c r="I130" s="150">
        <f>34.23*0.1*12*1.21</f>
        <v>49.70196</v>
      </c>
      <c r="J130" s="150">
        <v>36</v>
      </c>
    </row>
    <row r="131" spans="1:10" ht="15.75">
      <c r="A131" s="147">
        <v>23</v>
      </c>
      <c r="B131" s="154" t="s">
        <v>286</v>
      </c>
      <c r="C131" s="149">
        <v>45</v>
      </c>
      <c r="D131" s="150">
        <f>45*60</f>
        <v>2700</v>
      </c>
      <c r="E131" s="150">
        <v>1650</v>
      </c>
      <c r="F131" s="150">
        <f t="shared" si="9"/>
        <v>4350</v>
      </c>
      <c r="G131" s="150"/>
      <c r="H131" s="150">
        <f t="shared" si="11"/>
        <v>4350</v>
      </c>
      <c r="I131" s="150">
        <f>116.1*0.1*12*1.21</f>
        <v>168.57719999999998</v>
      </c>
      <c r="J131" s="150">
        <v>147</v>
      </c>
    </row>
    <row r="132" spans="1:10" ht="15.75">
      <c r="A132" s="147">
        <v>24</v>
      </c>
      <c r="B132" s="154" t="s">
        <v>287</v>
      </c>
      <c r="C132" s="149">
        <v>22</v>
      </c>
      <c r="D132" s="150">
        <f>22*60</f>
        <v>1320</v>
      </c>
      <c r="E132" s="150">
        <v>760</v>
      </c>
      <c r="F132" s="150">
        <f t="shared" si="9"/>
        <v>2080</v>
      </c>
      <c r="G132" s="150"/>
      <c r="H132" s="150">
        <f t="shared" si="11"/>
        <v>2080</v>
      </c>
      <c r="I132" s="150">
        <f>51.6*0.1*12*1.21</f>
        <v>74.9232</v>
      </c>
      <c r="J132" s="150">
        <v>77</v>
      </c>
    </row>
    <row r="133" spans="1:10" ht="15.75">
      <c r="A133" s="147">
        <v>25</v>
      </c>
      <c r="B133" s="154" t="s">
        <v>288</v>
      </c>
      <c r="C133" s="149"/>
      <c r="D133" s="150"/>
      <c r="E133" s="150">
        <v>600</v>
      </c>
      <c r="F133" s="150">
        <f t="shared" si="9"/>
        <v>600</v>
      </c>
      <c r="G133" s="150"/>
      <c r="H133" s="150">
        <f t="shared" si="11"/>
        <v>600</v>
      </c>
      <c r="I133" s="150"/>
      <c r="J133" s="150"/>
    </row>
    <row r="134" spans="1:10" ht="15.75">
      <c r="A134" s="153" t="s">
        <v>289</v>
      </c>
      <c r="B134" s="156" t="s">
        <v>290</v>
      </c>
      <c r="C134" s="149"/>
      <c r="D134" s="157">
        <v>19368</v>
      </c>
      <c r="E134" s="157">
        <f>39219+1454</f>
        <v>40673</v>
      </c>
      <c r="F134" s="157">
        <f>D134+E134</f>
        <v>60041</v>
      </c>
      <c r="G134" s="157"/>
      <c r="H134" s="155">
        <f t="shared" si="11"/>
        <v>60041</v>
      </c>
      <c r="I134" s="157">
        <v>4841</v>
      </c>
      <c r="J134" s="157">
        <v>1936</v>
      </c>
    </row>
    <row r="135" spans="1:10" ht="15.75">
      <c r="A135" s="153" t="s">
        <v>291</v>
      </c>
      <c r="B135" s="156" t="s">
        <v>292</v>
      </c>
      <c r="C135" s="155">
        <f>SUM(C136:C143)</f>
        <v>157</v>
      </c>
      <c r="D135" s="157">
        <f>SUM(D136:D143)</f>
        <v>9420</v>
      </c>
      <c r="E135" s="157">
        <f>SUM(E136:E143)</f>
        <v>11033</v>
      </c>
      <c r="F135" s="157">
        <f>SUM(F136:F143)</f>
        <v>20453</v>
      </c>
      <c r="G135" s="157"/>
      <c r="H135" s="157">
        <f>SUM(H136:H143)</f>
        <v>20453</v>
      </c>
      <c r="I135" s="157">
        <f>SUM(I136:I143)</f>
        <v>705.52028</v>
      </c>
      <c r="J135" s="157">
        <f>SUM(J136:J143)</f>
        <v>438</v>
      </c>
    </row>
    <row r="136" spans="1:10" ht="15.75">
      <c r="A136" s="147">
        <v>1</v>
      </c>
      <c r="B136" s="154" t="s">
        <v>293</v>
      </c>
      <c r="C136" s="149">
        <v>16</v>
      </c>
      <c r="D136" s="150">
        <f>16*60</f>
        <v>960</v>
      </c>
      <c r="E136" s="150">
        <v>580</v>
      </c>
      <c r="F136" s="150">
        <f aca="true" t="shared" si="12" ref="F136:F143">SUM(D136:E136)</f>
        <v>1540</v>
      </c>
      <c r="G136" s="150"/>
      <c r="H136" s="150">
        <f aca="true" t="shared" si="13" ref="H136:H143">F136</f>
        <v>1540</v>
      </c>
      <c r="I136" s="150">
        <f>62.84*0.1*12*1.21</f>
        <v>91.24368000000001</v>
      </c>
      <c r="J136" s="150">
        <v>30</v>
      </c>
    </row>
    <row r="137" spans="1:10" ht="15.75">
      <c r="A137" s="147">
        <v>2</v>
      </c>
      <c r="B137" s="154" t="s">
        <v>294</v>
      </c>
      <c r="C137" s="149">
        <v>24</v>
      </c>
      <c r="D137" s="150">
        <f>24*60</f>
        <v>1440</v>
      </c>
      <c r="E137" s="150">
        <v>500</v>
      </c>
      <c r="F137" s="150">
        <f t="shared" si="12"/>
        <v>1940</v>
      </c>
      <c r="G137" s="150"/>
      <c r="H137" s="150">
        <f t="shared" si="13"/>
        <v>1940</v>
      </c>
      <c r="I137" s="150">
        <v>107</v>
      </c>
      <c r="J137" s="150">
        <v>66</v>
      </c>
    </row>
    <row r="138" spans="1:10" ht="15.75">
      <c r="A138" s="147">
        <v>3</v>
      </c>
      <c r="B138" s="154" t="s">
        <v>295</v>
      </c>
      <c r="C138" s="149">
        <v>22</v>
      </c>
      <c r="D138" s="150">
        <f>22*60</f>
        <v>1320</v>
      </c>
      <c r="E138" s="150">
        <v>700</v>
      </c>
      <c r="F138" s="150">
        <f t="shared" si="12"/>
        <v>2020</v>
      </c>
      <c r="G138" s="150"/>
      <c r="H138" s="150">
        <f t="shared" si="13"/>
        <v>2020</v>
      </c>
      <c r="I138" s="150">
        <v>105</v>
      </c>
      <c r="J138" s="150">
        <v>56</v>
      </c>
    </row>
    <row r="139" spans="1:10" ht="30">
      <c r="A139" s="147">
        <v>4</v>
      </c>
      <c r="B139" s="154" t="s">
        <v>296</v>
      </c>
      <c r="C139" s="149">
        <v>7</v>
      </c>
      <c r="D139" s="150">
        <f>7*60</f>
        <v>420</v>
      </c>
      <c r="E139" s="150"/>
      <c r="F139" s="150">
        <f t="shared" si="12"/>
        <v>420</v>
      </c>
      <c r="G139" s="150"/>
      <c r="H139" s="150">
        <f t="shared" si="13"/>
        <v>420</v>
      </c>
      <c r="I139" s="150">
        <f>16.4*0.1*12*1.21</f>
        <v>23.8128</v>
      </c>
      <c r="J139" s="150">
        <v>25</v>
      </c>
    </row>
    <row r="140" spans="1:10" ht="15.75">
      <c r="A140" s="147">
        <v>5</v>
      </c>
      <c r="B140" s="154" t="s">
        <v>297</v>
      </c>
      <c r="C140" s="149">
        <v>22</v>
      </c>
      <c r="D140" s="150">
        <f>22*60</f>
        <v>1320</v>
      </c>
      <c r="E140" s="150">
        <v>1053</v>
      </c>
      <c r="F140" s="150">
        <f t="shared" si="12"/>
        <v>2373</v>
      </c>
      <c r="G140" s="150"/>
      <c r="H140" s="150">
        <f t="shared" si="13"/>
        <v>2373</v>
      </c>
      <c r="I140" s="150">
        <f>87.95*0.1*12*1.21</f>
        <v>127.70339999999999</v>
      </c>
      <c r="J140" s="150">
        <v>47</v>
      </c>
    </row>
    <row r="141" spans="1:10" ht="15.75">
      <c r="A141" s="147">
        <v>6</v>
      </c>
      <c r="B141" s="154" t="s">
        <v>298</v>
      </c>
      <c r="C141" s="149">
        <v>31</v>
      </c>
      <c r="D141" s="150">
        <f>31*60</f>
        <v>1860</v>
      </c>
      <c r="E141" s="150">
        <v>3500</v>
      </c>
      <c r="F141" s="150">
        <f t="shared" si="12"/>
        <v>5360</v>
      </c>
      <c r="G141" s="150"/>
      <c r="H141" s="150">
        <f t="shared" si="13"/>
        <v>5360</v>
      </c>
      <c r="I141" s="150">
        <f>97.96*0.1*12*1.21</f>
        <v>142.23791999999997</v>
      </c>
      <c r="J141" s="150">
        <v>82</v>
      </c>
    </row>
    <row r="142" spans="1:10" ht="30">
      <c r="A142" s="147">
        <v>7</v>
      </c>
      <c r="B142" s="154" t="s">
        <v>299</v>
      </c>
      <c r="C142" s="149">
        <v>17</v>
      </c>
      <c r="D142" s="150">
        <f>17*60</f>
        <v>1020</v>
      </c>
      <c r="E142" s="150">
        <v>2000</v>
      </c>
      <c r="F142" s="150">
        <f t="shared" si="12"/>
        <v>3020</v>
      </c>
      <c r="G142" s="150"/>
      <c r="H142" s="150">
        <f t="shared" si="13"/>
        <v>3020</v>
      </c>
      <c r="I142" s="150">
        <f>39.1*0.1*12*1.21</f>
        <v>56.7732</v>
      </c>
      <c r="J142" s="150">
        <v>61</v>
      </c>
    </row>
    <row r="143" spans="1:10" ht="15.75">
      <c r="A143" s="147">
        <v>8</v>
      </c>
      <c r="B143" s="154" t="s">
        <v>300</v>
      </c>
      <c r="C143" s="149">
        <v>18</v>
      </c>
      <c r="D143" s="150">
        <f>18*60</f>
        <v>1080</v>
      </c>
      <c r="E143" s="150">
        <v>2700</v>
      </c>
      <c r="F143" s="150">
        <f t="shared" si="12"/>
        <v>3780</v>
      </c>
      <c r="G143" s="150"/>
      <c r="H143" s="150">
        <f t="shared" si="13"/>
        <v>3780</v>
      </c>
      <c r="I143" s="150">
        <f>35.64*0.1*12*1.21</f>
        <v>51.74928</v>
      </c>
      <c r="J143" s="150">
        <v>71</v>
      </c>
    </row>
    <row r="144" spans="1:10" ht="15.75">
      <c r="A144" s="153" t="s">
        <v>301</v>
      </c>
      <c r="B144" s="156" t="s">
        <v>302</v>
      </c>
      <c r="C144" s="155">
        <f>SUM(C145:C161)</f>
        <v>70</v>
      </c>
      <c r="D144" s="157">
        <f>SUM(D145:D162)</f>
        <v>4200</v>
      </c>
      <c r="E144" s="157">
        <f>SUM(E145:E162)</f>
        <v>5360</v>
      </c>
      <c r="F144" s="157">
        <f>SUM(F145:F162)</f>
        <v>9560</v>
      </c>
      <c r="G144" s="157"/>
      <c r="H144" s="157">
        <f>SUM(H145:H162)</f>
        <v>9560</v>
      </c>
      <c r="I144" s="157">
        <f>SUM(I145:I162)</f>
        <v>292.18595999999997</v>
      </c>
      <c r="J144" s="157">
        <f>SUM(J145:J161)</f>
        <v>214</v>
      </c>
    </row>
    <row r="145" spans="1:10" ht="15.75">
      <c r="A145" s="147">
        <v>1</v>
      </c>
      <c r="B145" s="154" t="s">
        <v>303</v>
      </c>
      <c r="C145" s="149">
        <v>17</v>
      </c>
      <c r="D145" s="150">
        <f>17*60</f>
        <v>1020</v>
      </c>
      <c r="E145" s="150">
        <v>1000</v>
      </c>
      <c r="F145" s="150">
        <f aca="true" t="shared" si="14" ref="F145:F162">SUM(D145:E145)</f>
        <v>2020</v>
      </c>
      <c r="G145" s="150"/>
      <c r="H145" s="150">
        <f aca="true" t="shared" si="15" ref="H145:H162">F145</f>
        <v>2020</v>
      </c>
      <c r="I145" s="150">
        <f>46.05*0.1*12*1.21</f>
        <v>66.86459999999998</v>
      </c>
      <c r="J145" s="150">
        <v>53</v>
      </c>
    </row>
    <row r="146" spans="1:10" ht="15.75">
      <c r="A146" s="147">
        <v>2</v>
      </c>
      <c r="B146" s="154" t="s">
        <v>304</v>
      </c>
      <c r="C146" s="149">
        <v>4</v>
      </c>
      <c r="D146" s="150">
        <f>4*60</f>
        <v>240</v>
      </c>
      <c r="E146" s="150">
        <v>150</v>
      </c>
      <c r="F146" s="150">
        <f t="shared" si="14"/>
        <v>390</v>
      </c>
      <c r="G146" s="150"/>
      <c r="H146" s="150">
        <f t="shared" si="15"/>
        <v>390</v>
      </c>
      <c r="I146" s="150">
        <f>16.19*0.1*12*1.21</f>
        <v>23.507880000000004</v>
      </c>
      <c r="J146" s="150">
        <v>7</v>
      </c>
    </row>
    <row r="147" spans="1:10" ht="15.75">
      <c r="A147" s="147">
        <v>3</v>
      </c>
      <c r="B147" s="154" t="s">
        <v>305</v>
      </c>
      <c r="C147" s="149">
        <v>4</v>
      </c>
      <c r="D147" s="150">
        <f>4*60</f>
        <v>240</v>
      </c>
      <c r="E147" s="150">
        <v>50</v>
      </c>
      <c r="F147" s="150">
        <f t="shared" si="14"/>
        <v>290</v>
      </c>
      <c r="G147" s="150"/>
      <c r="H147" s="150">
        <f t="shared" si="15"/>
        <v>290</v>
      </c>
      <c r="I147" s="150">
        <f>16.96*0.1*12*1.21</f>
        <v>24.625920000000004</v>
      </c>
      <c r="J147" s="150">
        <v>6</v>
      </c>
    </row>
    <row r="148" spans="1:10" ht="15.75">
      <c r="A148" s="147">
        <v>4</v>
      </c>
      <c r="B148" s="154" t="s">
        <v>306</v>
      </c>
      <c r="C148" s="149"/>
      <c r="D148" s="150"/>
      <c r="E148" s="150">
        <v>400</v>
      </c>
      <c r="F148" s="150">
        <f t="shared" si="14"/>
        <v>400</v>
      </c>
      <c r="G148" s="150"/>
      <c r="H148" s="150">
        <f t="shared" si="15"/>
        <v>400</v>
      </c>
      <c r="I148" s="150"/>
      <c r="J148" s="150"/>
    </row>
    <row r="149" spans="1:10" ht="15.75">
      <c r="A149" s="147">
        <v>6</v>
      </c>
      <c r="B149" s="154" t="s">
        <v>307</v>
      </c>
      <c r="C149" s="149">
        <v>13</v>
      </c>
      <c r="D149" s="150">
        <f>13*60</f>
        <v>780</v>
      </c>
      <c r="E149" s="150">
        <v>350</v>
      </c>
      <c r="F149" s="150">
        <f t="shared" si="14"/>
        <v>1130</v>
      </c>
      <c r="G149" s="150"/>
      <c r="H149" s="150">
        <f t="shared" si="15"/>
        <v>1130</v>
      </c>
      <c r="I149" s="150">
        <f>31.2*0.1*12*1.21</f>
        <v>45.3024</v>
      </c>
      <c r="J149" s="150">
        <v>45</v>
      </c>
    </row>
    <row r="150" spans="1:10" ht="15.75">
      <c r="A150" s="147">
        <v>7</v>
      </c>
      <c r="B150" s="154" t="s">
        <v>308</v>
      </c>
      <c r="C150" s="149"/>
      <c r="D150" s="150"/>
      <c r="E150" s="150">
        <v>200</v>
      </c>
      <c r="F150" s="150">
        <f t="shared" si="14"/>
        <v>200</v>
      </c>
      <c r="G150" s="150"/>
      <c r="H150" s="150">
        <f t="shared" si="15"/>
        <v>200</v>
      </c>
      <c r="I150" s="150"/>
      <c r="J150" s="150"/>
    </row>
    <row r="151" spans="1:10" ht="15.75">
      <c r="A151" s="147">
        <v>8</v>
      </c>
      <c r="B151" s="154" t="s">
        <v>309</v>
      </c>
      <c r="C151" s="149"/>
      <c r="D151" s="150"/>
      <c r="E151" s="150">
        <v>200</v>
      </c>
      <c r="F151" s="150">
        <f t="shared" si="14"/>
        <v>200</v>
      </c>
      <c r="G151" s="150"/>
      <c r="H151" s="150">
        <f t="shared" si="15"/>
        <v>200</v>
      </c>
      <c r="I151" s="150"/>
      <c r="J151" s="150"/>
    </row>
    <row r="152" spans="1:10" ht="15.75">
      <c r="A152" s="147">
        <v>9</v>
      </c>
      <c r="B152" s="154" t="s">
        <v>310</v>
      </c>
      <c r="C152" s="149">
        <v>4</v>
      </c>
      <c r="D152" s="150">
        <f>4*60</f>
        <v>240</v>
      </c>
      <c r="E152" s="150">
        <v>655</v>
      </c>
      <c r="F152" s="150">
        <f t="shared" si="14"/>
        <v>895</v>
      </c>
      <c r="G152" s="150"/>
      <c r="H152" s="150">
        <f t="shared" si="15"/>
        <v>895</v>
      </c>
      <c r="I152" s="150">
        <f>9.36*0.1*12*1.21</f>
        <v>13.59072</v>
      </c>
      <c r="J152" s="150">
        <v>14</v>
      </c>
    </row>
    <row r="153" spans="1:10" ht="15.75">
      <c r="A153" s="147">
        <v>10</v>
      </c>
      <c r="B153" s="154" t="s">
        <v>311</v>
      </c>
      <c r="C153" s="149">
        <v>5</v>
      </c>
      <c r="D153" s="150">
        <f>5*60</f>
        <v>300</v>
      </c>
      <c r="E153" s="150">
        <v>50</v>
      </c>
      <c r="F153" s="150">
        <f t="shared" si="14"/>
        <v>350</v>
      </c>
      <c r="G153" s="150"/>
      <c r="H153" s="150">
        <f t="shared" si="15"/>
        <v>350</v>
      </c>
      <c r="I153" s="150">
        <f>11.7*0.1*12*1.21</f>
        <v>16.9884</v>
      </c>
      <c r="J153" s="150">
        <v>18</v>
      </c>
    </row>
    <row r="154" spans="1:10" ht="15.75">
      <c r="A154" s="147">
        <v>11</v>
      </c>
      <c r="B154" s="154" t="s">
        <v>312</v>
      </c>
      <c r="C154" s="149"/>
      <c r="D154" s="150"/>
      <c r="E154" s="150">
        <v>250</v>
      </c>
      <c r="F154" s="150">
        <f t="shared" si="14"/>
        <v>250</v>
      </c>
      <c r="G154" s="150"/>
      <c r="H154" s="150">
        <f t="shared" si="15"/>
        <v>250</v>
      </c>
      <c r="I154" s="150"/>
      <c r="J154" s="150"/>
    </row>
    <row r="155" spans="1:10" ht="15.75">
      <c r="A155" s="147">
        <v>12</v>
      </c>
      <c r="B155" s="154" t="s">
        <v>313</v>
      </c>
      <c r="C155" s="149"/>
      <c r="D155" s="150"/>
      <c r="E155" s="150">
        <v>300</v>
      </c>
      <c r="F155" s="150">
        <f t="shared" si="14"/>
        <v>300</v>
      </c>
      <c r="G155" s="150"/>
      <c r="H155" s="150">
        <f t="shared" si="15"/>
        <v>300</v>
      </c>
      <c r="I155" s="150"/>
      <c r="J155" s="150"/>
    </row>
    <row r="156" spans="1:10" ht="15.75">
      <c r="A156" s="147">
        <v>13</v>
      </c>
      <c r="B156" s="154" t="s">
        <v>314</v>
      </c>
      <c r="C156" s="149">
        <v>9</v>
      </c>
      <c r="D156" s="150">
        <f>9*60</f>
        <v>540</v>
      </c>
      <c r="E156" s="150">
        <v>675</v>
      </c>
      <c r="F156" s="150">
        <f t="shared" si="14"/>
        <v>1215</v>
      </c>
      <c r="G156" s="150"/>
      <c r="H156" s="150">
        <f t="shared" si="15"/>
        <v>1215</v>
      </c>
      <c r="I156" s="150">
        <f>39.35*0.1*12*1.21</f>
        <v>57.1362</v>
      </c>
      <c r="J156" s="150">
        <v>19</v>
      </c>
    </row>
    <row r="157" spans="1:10" ht="15.75">
      <c r="A157" s="147">
        <v>14</v>
      </c>
      <c r="B157" s="154" t="s">
        <v>315</v>
      </c>
      <c r="C157" s="149">
        <v>7</v>
      </c>
      <c r="D157" s="150">
        <f>7*60</f>
        <v>420</v>
      </c>
      <c r="E157" s="150">
        <v>30</v>
      </c>
      <c r="F157" s="150">
        <f t="shared" si="14"/>
        <v>450</v>
      </c>
      <c r="G157" s="150"/>
      <c r="H157" s="150">
        <f t="shared" si="15"/>
        <v>450</v>
      </c>
      <c r="I157" s="150">
        <f>14.04*0.1*12*1.21</f>
        <v>20.38608</v>
      </c>
      <c r="J157" s="150">
        <v>27</v>
      </c>
    </row>
    <row r="158" spans="1:10" ht="15.75">
      <c r="A158" s="147">
        <v>15</v>
      </c>
      <c r="B158" s="154" t="s">
        <v>316</v>
      </c>
      <c r="C158" s="149">
        <v>7</v>
      </c>
      <c r="D158" s="150">
        <f>7*60</f>
        <v>420</v>
      </c>
      <c r="E158" s="150">
        <v>250</v>
      </c>
      <c r="F158" s="150">
        <f t="shared" si="14"/>
        <v>670</v>
      </c>
      <c r="G158" s="150"/>
      <c r="H158" s="150">
        <f t="shared" si="15"/>
        <v>670</v>
      </c>
      <c r="I158" s="150">
        <f>16.38*0.1*12*1.21</f>
        <v>23.783759999999997</v>
      </c>
      <c r="J158" s="150">
        <v>25</v>
      </c>
    </row>
    <row r="159" spans="1:10" ht="15.75">
      <c r="A159" s="147">
        <v>16</v>
      </c>
      <c r="B159" s="154" t="s">
        <v>317</v>
      </c>
      <c r="C159" s="149"/>
      <c r="D159" s="150"/>
      <c r="E159" s="150">
        <v>200</v>
      </c>
      <c r="F159" s="150">
        <f t="shared" si="14"/>
        <v>200</v>
      </c>
      <c r="G159" s="150"/>
      <c r="H159" s="150">
        <f t="shared" si="15"/>
        <v>200</v>
      </c>
      <c r="I159" s="150"/>
      <c r="J159" s="150"/>
    </row>
    <row r="160" spans="1:10" ht="15.75">
      <c r="A160" s="147">
        <v>17</v>
      </c>
      <c r="B160" s="154" t="s">
        <v>318</v>
      </c>
      <c r="C160" s="149"/>
      <c r="D160" s="150"/>
      <c r="E160" s="150">
        <v>200</v>
      </c>
      <c r="F160" s="150">
        <f t="shared" si="14"/>
        <v>200</v>
      </c>
      <c r="G160" s="150"/>
      <c r="H160" s="150">
        <f t="shared" si="15"/>
        <v>200</v>
      </c>
      <c r="I160" s="150"/>
      <c r="J160" s="150"/>
    </row>
    <row r="161" spans="1:10" ht="15.75">
      <c r="A161" s="147">
        <v>18</v>
      </c>
      <c r="B161" s="154" t="s">
        <v>319</v>
      </c>
      <c r="C161" s="149"/>
      <c r="D161" s="150"/>
      <c r="E161" s="150">
        <v>200</v>
      </c>
      <c r="F161" s="150">
        <f t="shared" si="14"/>
        <v>200</v>
      </c>
      <c r="G161" s="150"/>
      <c r="H161" s="150">
        <f t="shared" si="15"/>
        <v>200</v>
      </c>
      <c r="I161" s="150"/>
      <c r="J161" s="150"/>
    </row>
    <row r="162" spans="1:10" ht="15.75">
      <c r="A162" s="147">
        <v>19</v>
      </c>
      <c r="B162" s="154" t="s">
        <v>320</v>
      </c>
      <c r="C162" s="149"/>
      <c r="D162" s="150"/>
      <c r="E162" s="150">
        <v>200</v>
      </c>
      <c r="F162" s="150">
        <f t="shared" si="14"/>
        <v>200</v>
      </c>
      <c r="G162" s="150"/>
      <c r="H162" s="150">
        <f t="shared" si="15"/>
        <v>200</v>
      </c>
      <c r="I162" s="150"/>
      <c r="J162" s="150"/>
    </row>
    <row r="163" spans="1:10" ht="28.5">
      <c r="A163" s="153" t="s">
        <v>321</v>
      </c>
      <c r="B163" s="156" t="s">
        <v>322</v>
      </c>
      <c r="C163" s="149">
        <f>SUM(C164:C166)</f>
        <v>0</v>
      </c>
      <c r="D163" s="157"/>
      <c r="E163" s="157">
        <f>SUM(E164:E166)</f>
        <v>17600</v>
      </c>
      <c r="F163" s="157">
        <f>SUM(F164:F166)</f>
        <v>32600</v>
      </c>
      <c r="G163" s="157"/>
      <c r="H163" s="157">
        <f>SUM(H164:H166)</f>
        <v>32600</v>
      </c>
      <c r="I163" s="157">
        <f>SUM(I164:I166)</f>
        <v>1643</v>
      </c>
      <c r="J163" s="157">
        <f>J164</f>
        <v>0</v>
      </c>
    </row>
    <row r="164" spans="1:10" ht="15.75">
      <c r="A164" s="147">
        <v>1</v>
      </c>
      <c r="B164" s="154" t="s">
        <v>323</v>
      </c>
      <c r="C164" s="149"/>
      <c r="D164" s="150"/>
      <c r="E164" s="150">
        <f>17100+500</f>
        <v>17600</v>
      </c>
      <c r="F164" s="150">
        <f>SUM(D164:E164)</f>
        <v>17600</v>
      </c>
      <c r="G164" s="150"/>
      <c r="H164" s="150">
        <f>F164</f>
        <v>17600</v>
      </c>
      <c r="I164" s="150">
        <v>1643</v>
      </c>
      <c r="J164" s="150"/>
    </row>
    <row r="165" spans="1:10" ht="15.75">
      <c r="A165" s="147">
        <v>2</v>
      </c>
      <c r="B165" s="154" t="s">
        <v>324</v>
      </c>
      <c r="C165" s="149"/>
      <c r="D165" s="150"/>
      <c r="E165" s="150"/>
      <c r="F165" s="150">
        <f>7000+1000</f>
        <v>8000</v>
      </c>
      <c r="G165" s="150"/>
      <c r="H165" s="149">
        <f>F165</f>
        <v>8000</v>
      </c>
      <c r="I165" s="150"/>
      <c r="J165" s="150"/>
    </row>
    <row r="166" spans="1:10" ht="15.75">
      <c r="A166" s="158">
        <v>3</v>
      </c>
      <c r="B166" s="159" t="s">
        <v>325</v>
      </c>
      <c r="C166" s="152"/>
      <c r="D166" s="151"/>
      <c r="E166" s="151"/>
      <c r="F166" s="151">
        <v>7000</v>
      </c>
      <c r="G166" s="151"/>
      <c r="H166" s="152">
        <f>F166</f>
        <v>7000</v>
      </c>
      <c r="I166" s="151"/>
      <c r="J166" s="151"/>
    </row>
    <row r="167" spans="1:10" ht="15.75">
      <c r="A167" s="160" t="s">
        <v>326</v>
      </c>
      <c r="B167" s="161" t="s">
        <v>327</v>
      </c>
      <c r="C167" s="162"/>
      <c r="D167" s="163"/>
      <c r="E167" s="163"/>
      <c r="F167" s="163">
        <v>12000</v>
      </c>
      <c r="G167" s="163"/>
      <c r="H167" s="162">
        <f>F167</f>
        <v>12000</v>
      </c>
      <c r="I167" s="163"/>
      <c r="J167" s="163"/>
    </row>
    <row r="168" spans="1:10" ht="15.75">
      <c r="A168" s="164"/>
      <c r="B168" s="165" t="s">
        <v>152</v>
      </c>
      <c r="C168" s="166">
        <f>C15+C59+C70+C76+C81+C90+C92+C107+C163+C55+C12</f>
        <v>6883</v>
      </c>
      <c r="D168" s="166">
        <f aca="true" t="shared" si="16" ref="D168:I168">D15+D59+D70+D76+D81+D90+D92+D107+D163+D55+D12+D167</f>
        <v>427623</v>
      </c>
      <c r="E168" s="166">
        <f t="shared" si="16"/>
        <v>425970</v>
      </c>
      <c r="F168" s="166">
        <f t="shared" si="16"/>
        <v>880593</v>
      </c>
      <c r="G168" s="166">
        <f t="shared" si="16"/>
        <v>0</v>
      </c>
      <c r="H168" s="166">
        <f t="shared" si="16"/>
        <v>873820</v>
      </c>
      <c r="I168" s="166">
        <f t="shared" si="16"/>
        <v>65183.907920000005</v>
      </c>
      <c r="J168" s="166">
        <f>J15+J59+J70+J76+J81+J90+J92+J107+J163+J55</f>
        <v>14506</v>
      </c>
    </row>
    <row r="169" spans="1:10" ht="15.75">
      <c r="A169" s="173" t="s">
        <v>340</v>
      </c>
      <c r="B169" s="173"/>
      <c r="C169" s="173"/>
      <c r="D169" s="173"/>
      <c r="E169" s="173"/>
      <c r="F169" s="173"/>
      <c r="G169" s="173"/>
      <c r="H169" s="173"/>
      <c r="I169" s="173"/>
      <c r="J169" s="173"/>
    </row>
    <row r="170" ht="15.75">
      <c r="A170" s="167"/>
    </row>
    <row r="171" ht="15.75">
      <c r="A171" s="167"/>
    </row>
    <row r="172" ht="15.75">
      <c r="A172" s="167"/>
    </row>
    <row r="173" spans="1:10" ht="15.75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</row>
    <row r="174" ht="15.75">
      <c r="A174" s="167"/>
    </row>
    <row r="175" ht="15.75">
      <c r="A175" s="167"/>
    </row>
    <row r="176" ht="15.75">
      <c r="A176" s="167"/>
    </row>
    <row r="177" ht="15.75">
      <c r="A177" s="167"/>
    </row>
    <row r="178" ht="15.75">
      <c r="A178" s="167"/>
    </row>
    <row r="179" ht="15.75">
      <c r="A179" s="167"/>
    </row>
    <row r="180" ht="15.75">
      <c r="A180" s="167"/>
    </row>
  </sheetData>
  <mergeCells count="17">
    <mergeCell ref="A2:J3"/>
    <mergeCell ref="A1:D1"/>
    <mergeCell ref="C6:C11"/>
    <mergeCell ref="G6:G11"/>
    <mergeCell ref="D7:D11"/>
    <mergeCell ref="A4:J4"/>
    <mergeCell ref="D5:K5"/>
    <mergeCell ref="A173:J173"/>
    <mergeCell ref="A169:J169"/>
    <mergeCell ref="H6:H11"/>
    <mergeCell ref="J6:J11"/>
    <mergeCell ref="I6:I11"/>
    <mergeCell ref="E7:E11"/>
    <mergeCell ref="F7:F11"/>
    <mergeCell ref="D6:E6"/>
    <mergeCell ref="A6:A11"/>
    <mergeCell ref="B6:B11"/>
  </mergeCells>
  <printOptions/>
  <pageMargins left="0.44" right="0.16" top="0.36" bottom="0.42" header="0.16" footer="0.16"/>
  <pageSetup horizontalDpi="600" verticalDpi="600" orientation="portrait" r:id="rId2"/>
  <headerFooter alignWithMargins="0">
    <oddFooter>&amp;CPage &amp;P&amp;RDự toán 2012.xls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B1">
      <selection activeCell="E17" sqref="E17"/>
    </sheetView>
  </sheetViews>
  <sheetFormatPr defaultColWidth="9.140625" defaultRowHeight="12.75"/>
  <cols>
    <col min="1" max="1" width="29.57421875" style="1" customWidth="1"/>
    <col min="2" max="2" width="10.421875" style="1" customWidth="1"/>
    <col min="3" max="3" width="10.8515625" style="1" customWidth="1"/>
    <col min="4" max="4" width="10.28125" style="1" customWidth="1"/>
    <col min="5" max="5" width="8.57421875" style="54" customWidth="1"/>
    <col min="6" max="6" width="8.57421875" style="1" customWidth="1"/>
    <col min="7" max="7" width="8.7109375" style="35" customWidth="1"/>
    <col min="8" max="8" width="8.8515625" style="35" customWidth="1"/>
    <col min="9" max="9" width="8.7109375" style="1" customWidth="1"/>
    <col min="10" max="10" width="8.28125" style="35" customWidth="1"/>
    <col min="11" max="12" width="8.7109375" style="1" customWidth="1"/>
    <col min="13" max="13" width="8.7109375" style="35" customWidth="1"/>
    <col min="14" max="14" width="8.57421875" style="1" customWidth="1"/>
    <col min="15" max="16384" width="9.140625" style="1" customWidth="1"/>
  </cols>
  <sheetData>
    <row r="1" spans="1:3" ht="15.75" customHeight="1">
      <c r="A1" s="168" t="s">
        <v>328</v>
      </c>
      <c r="B1" s="168"/>
      <c r="C1" s="168"/>
    </row>
    <row r="2" spans="1:14" ht="18.75">
      <c r="A2" s="190" t="s">
        <v>329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18.75">
      <c r="A3" s="190" t="s">
        <v>330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28.5" customHeight="1">
      <c r="A4" s="212" t="s">
        <v>338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1:14" ht="15.75">
      <c r="A5" s="25"/>
      <c r="B5" s="25"/>
      <c r="C5" s="25"/>
      <c r="D5" s="25"/>
      <c r="E5" s="230"/>
      <c r="F5" s="25"/>
      <c r="G5" s="25"/>
      <c r="H5" s="25"/>
      <c r="I5" s="25"/>
      <c r="J5" s="25"/>
      <c r="K5" s="25"/>
      <c r="L5" s="25"/>
      <c r="M5" s="25"/>
      <c r="N5" s="66" t="s">
        <v>0</v>
      </c>
    </row>
    <row r="6" spans="1:14" ht="15.75">
      <c r="A6" s="185" t="s">
        <v>1</v>
      </c>
      <c r="B6" s="185" t="s">
        <v>113</v>
      </c>
      <c r="C6" s="186" t="s">
        <v>2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</row>
    <row r="7" spans="1:14" s="6" customFormat="1" ht="15.75">
      <c r="A7" s="231"/>
      <c r="B7" s="231"/>
      <c r="C7" s="185" t="s">
        <v>3</v>
      </c>
      <c r="D7" s="185" t="s">
        <v>4</v>
      </c>
      <c r="E7" s="189" t="s">
        <v>2</v>
      </c>
      <c r="F7" s="189"/>
      <c r="G7" s="189"/>
      <c r="H7" s="189"/>
      <c r="I7" s="189"/>
      <c r="J7" s="189"/>
      <c r="K7" s="189"/>
      <c r="L7" s="189"/>
      <c r="M7" s="189"/>
      <c r="N7" s="189"/>
    </row>
    <row r="8" spans="1:14" s="6" customFormat="1" ht="25.5">
      <c r="A8" s="231"/>
      <c r="B8" s="231"/>
      <c r="C8" s="185"/>
      <c r="D8" s="185"/>
      <c r="E8" s="55" t="s">
        <v>5</v>
      </c>
      <c r="F8" s="67" t="s">
        <v>11</v>
      </c>
      <c r="G8" s="67" t="s">
        <v>7</v>
      </c>
      <c r="H8" s="67" t="s">
        <v>6</v>
      </c>
      <c r="I8" s="67" t="s">
        <v>8</v>
      </c>
      <c r="J8" s="67" t="s">
        <v>9</v>
      </c>
      <c r="K8" s="67" t="s">
        <v>10</v>
      </c>
      <c r="L8" s="67" t="s">
        <v>12</v>
      </c>
      <c r="M8" s="67" t="s">
        <v>73</v>
      </c>
      <c r="N8" s="67" t="s">
        <v>74</v>
      </c>
    </row>
    <row r="9" spans="1:14" ht="15.75">
      <c r="A9" s="12">
        <v>1</v>
      </c>
      <c r="B9" s="12" t="s">
        <v>13</v>
      </c>
      <c r="C9" s="12">
        <v>3</v>
      </c>
      <c r="D9" s="12" t="s">
        <v>14</v>
      </c>
      <c r="E9" s="56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</row>
    <row r="10" spans="1:14" s="2" customFormat="1" ht="24.75" customHeight="1">
      <c r="A10" s="13" t="s">
        <v>15</v>
      </c>
      <c r="B10" s="14">
        <f aca="true" t="shared" si="0" ref="B10:N10">B11+B58</f>
        <v>3800000</v>
      </c>
      <c r="C10" s="14">
        <f t="shared" si="0"/>
        <v>2537400</v>
      </c>
      <c r="D10" s="14">
        <f t="shared" si="0"/>
        <v>1262600</v>
      </c>
      <c r="E10" s="57">
        <f t="shared" si="0"/>
        <v>171000</v>
      </c>
      <c r="F10" s="14">
        <f t="shared" si="0"/>
        <v>141000</v>
      </c>
      <c r="G10" s="14">
        <f t="shared" si="0"/>
        <v>163500</v>
      </c>
      <c r="H10" s="14">
        <f t="shared" si="0"/>
        <v>117000</v>
      </c>
      <c r="I10" s="14">
        <f t="shared" si="0"/>
        <v>144600</v>
      </c>
      <c r="J10" s="14">
        <f t="shared" si="0"/>
        <v>31000</v>
      </c>
      <c r="K10" s="14">
        <f t="shared" si="0"/>
        <v>120600</v>
      </c>
      <c r="L10" s="14">
        <f t="shared" si="0"/>
        <v>145200</v>
      </c>
      <c r="M10" s="14">
        <f t="shared" si="0"/>
        <v>59200</v>
      </c>
      <c r="N10" s="14">
        <f t="shared" si="0"/>
        <v>169500</v>
      </c>
    </row>
    <row r="11" spans="1:14" s="3" customFormat="1" ht="31.5">
      <c r="A11" s="15" t="s">
        <v>16</v>
      </c>
      <c r="B11" s="16">
        <f>B12+B53+B56+B57</f>
        <v>3350000</v>
      </c>
      <c r="C11" s="16">
        <f>C12+C53+C56+C57</f>
        <v>2204000</v>
      </c>
      <c r="D11" s="16">
        <f>D12+D53+D56+D57</f>
        <v>1146000</v>
      </c>
      <c r="E11" s="36">
        <f aca="true" t="shared" si="1" ref="E11:N11">E12+E53+E56+E57</f>
        <v>163000</v>
      </c>
      <c r="F11" s="16">
        <f t="shared" si="1"/>
        <v>116000</v>
      </c>
      <c r="G11" s="16">
        <f t="shared" si="1"/>
        <v>148600</v>
      </c>
      <c r="H11" s="16">
        <f t="shared" si="1"/>
        <v>109000</v>
      </c>
      <c r="I11" s="16">
        <f t="shared" si="1"/>
        <v>132800</v>
      </c>
      <c r="J11" s="16">
        <f t="shared" si="1"/>
        <v>26600</v>
      </c>
      <c r="K11" s="16">
        <f t="shared" si="1"/>
        <v>104000</v>
      </c>
      <c r="L11" s="16">
        <f t="shared" si="1"/>
        <v>132800</v>
      </c>
      <c r="M11" s="16">
        <f t="shared" si="1"/>
        <v>51700</v>
      </c>
      <c r="N11" s="16">
        <f t="shared" si="1"/>
        <v>161500</v>
      </c>
    </row>
    <row r="12" spans="1:14" s="3" customFormat="1" ht="15.75" customHeight="1">
      <c r="A12" s="15" t="s">
        <v>17</v>
      </c>
      <c r="B12" s="16">
        <f>B13+B20+B26+B33+B40+B41+B42+B43+B44+B45+B48+B49+B50+B51+B52</f>
        <v>3200000</v>
      </c>
      <c r="C12" s="16">
        <f>C13+C20+C26+C33+C40+C41+C42+C43+C44+C45+C48+C49+C50+C51+C52</f>
        <v>2054000</v>
      </c>
      <c r="D12" s="16">
        <f>D13+D20+D26+D33+D40+D41+D42+D43+D44+D45+D48+D49+D50+D51+D52</f>
        <v>1146000</v>
      </c>
      <c r="E12" s="36">
        <f aca="true" t="shared" si="2" ref="E12:N12">E13+E20+E26+E33+E40+E41+E42+E43+E44+E45+E48+E49+E50+E51+E52</f>
        <v>163000</v>
      </c>
      <c r="F12" s="16">
        <f t="shared" si="2"/>
        <v>116000</v>
      </c>
      <c r="G12" s="16">
        <f t="shared" si="2"/>
        <v>148600</v>
      </c>
      <c r="H12" s="16">
        <f t="shared" si="2"/>
        <v>109000</v>
      </c>
      <c r="I12" s="16">
        <f t="shared" si="2"/>
        <v>132800</v>
      </c>
      <c r="J12" s="16">
        <f t="shared" si="2"/>
        <v>26600</v>
      </c>
      <c r="K12" s="16">
        <f t="shared" si="2"/>
        <v>104000</v>
      </c>
      <c r="L12" s="16">
        <f t="shared" si="2"/>
        <v>132800</v>
      </c>
      <c r="M12" s="16">
        <f t="shared" si="2"/>
        <v>51700</v>
      </c>
      <c r="N12" s="16">
        <f t="shared" si="2"/>
        <v>161500</v>
      </c>
    </row>
    <row r="13" spans="1:14" s="5" customFormat="1" ht="25.5">
      <c r="A13" s="239" t="s">
        <v>18</v>
      </c>
      <c r="B13" s="17">
        <f>B14+B15+B16+B17+B18+B19</f>
        <v>772000</v>
      </c>
      <c r="C13" s="17">
        <f>C14+C15+C16+C17+C18+C19</f>
        <v>772000</v>
      </c>
      <c r="D13" s="17"/>
      <c r="E13" s="58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>
      <c r="A14" s="232" t="s">
        <v>19</v>
      </c>
      <c r="B14" s="17">
        <f aca="true" t="shared" si="3" ref="B14:B25">C14+D14</f>
        <v>196000</v>
      </c>
      <c r="C14" s="17">
        <v>196000</v>
      </c>
      <c r="D14" s="17"/>
      <c r="E14" s="58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.75">
      <c r="A15" s="18" t="s">
        <v>20</v>
      </c>
      <c r="B15" s="17">
        <f t="shared" si="3"/>
        <v>567000</v>
      </c>
      <c r="C15" s="17">
        <v>567000</v>
      </c>
      <c r="D15" s="17"/>
      <c r="E15" s="58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0.75" customHeight="1">
      <c r="A16" s="18" t="s">
        <v>21</v>
      </c>
      <c r="B16" s="17">
        <f t="shared" si="3"/>
        <v>0</v>
      </c>
      <c r="C16" s="17"/>
      <c r="D16" s="17"/>
      <c r="E16" s="58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.75">
      <c r="A17" s="19" t="s">
        <v>22</v>
      </c>
      <c r="B17" s="17">
        <f t="shared" si="3"/>
        <v>8500</v>
      </c>
      <c r="C17" s="17">
        <v>8500</v>
      </c>
      <c r="D17" s="17"/>
      <c r="E17" s="58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.75">
      <c r="A18" s="18" t="s">
        <v>23</v>
      </c>
      <c r="B18" s="17">
        <f t="shared" si="3"/>
        <v>140</v>
      </c>
      <c r="C18" s="17">
        <v>140</v>
      </c>
      <c r="D18" s="17"/>
      <c r="E18" s="58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.75">
      <c r="A19" s="18" t="s">
        <v>42</v>
      </c>
      <c r="B19" s="17">
        <f t="shared" si="3"/>
        <v>360</v>
      </c>
      <c r="C19" s="17">
        <v>360</v>
      </c>
      <c r="D19" s="17"/>
      <c r="E19" s="58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5" customFormat="1" ht="25.5">
      <c r="A20" s="239" t="s">
        <v>24</v>
      </c>
      <c r="B20" s="17">
        <f t="shared" si="3"/>
        <v>264000</v>
      </c>
      <c r="C20" s="17">
        <f>C21+C22+C23+C24+C25</f>
        <v>264000</v>
      </c>
      <c r="D20" s="17"/>
      <c r="E20" s="58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.75">
      <c r="A21" s="232" t="s">
        <v>19</v>
      </c>
      <c r="B21" s="17">
        <f t="shared" si="3"/>
        <v>86300</v>
      </c>
      <c r="C21" s="17">
        <v>86300</v>
      </c>
      <c r="D21" s="17"/>
      <c r="E21" s="58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>
      <c r="A22" s="18" t="s">
        <v>20</v>
      </c>
      <c r="B22" s="17">
        <f t="shared" si="3"/>
        <v>140000</v>
      </c>
      <c r="C22" s="17">
        <v>140000</v>
      </c>
      <c r="D22" s="17"/>
      <c r="E22" s="58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75">
      <c r="A23" s="19" t="s">
        <v>22</v>
      </c>
      <c r="B23" s="17">
        <f t="shared" si="3"/>
        <v>37000</v>
      </c>
      <c r="C23" s="17">
        <v>37000</v>
      </c>
      <c r="D23" s="17"/>
      <c r="E23" s="58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.75">
      <c r="A24" s="18" t="s">
        <v>23</v>
      </c>
      <c r="B24" s="17">
        <f t="shared" si="3"/>
        <v>360</v>
      </c>
      <c r="C24" s="17">
        <v>360</v>
      </c>
      <c r="D24" s="17"/>
      <c r="E24" s="58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.75">
      <c r="A25" s="18" t="s">
        <v>42</v>
      </c>
      <c r="B25" s="17">
        <f t="shared" si="3"/>
        <v>340</v>
      </c>
      <c r="C25" s="17">
        <v>340</v>
      </c>
      <c r="D25" s="17"/>
      <c r="E25" s="58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5" customFormat="1" ht="25.5">
      <c r="A26" s="239" t="s">
        <v>25</v>
      </c>
      <c r="B26" s="17">
        <f>B27+B28+B29+B30+B31+B32</f>
        <v>60000</v>
      </c>
      <c r="C26" s="17">
        <f>C27+C28+C29+C30+C31+C32</f>
        <v>60000</v>
      </c>
      <c r="D26" s="17"/>
      <c r="E26" s="58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.75">
      <c r="A27" s="232" t="s">
        <v>19</v>
      </c>
      <c r="B27" s="17">
        <f aca="true" t="shared" si="4" ref="B27:B32">C27+D27</f>
        <v>36500</v>
      </c>
      <c r="C27" s="17">
        <v>36500</v>
      </c>
      <c r="D27" s="17"/>
      <c r="E27" s="58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.75">
      <c r="A28" s="18" t="s">
        <v>20</v>
      </c>
      <c r="B28" s="17">
        <f t="shared" si="4"/>
        <v>21500</v>
      </c>
      <c r="C28" s="17">
        <v>21500</v>
      </c>
      <c r="D28" s="17"/>
      <c r="E28" s="58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.75">
      <c r="A29" s="19" t="s">
        <v>22</v>
      </c>
      <c r="B29" s="17">
        <f t="shared" si="4"/>
        <v>500</v>
      </c>
      <c r="C29" s="17">
        <v>500</v>
      </c>
      <c r="D29" s="17"/>
      <c r="E29" s="58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.75">
      <c r="A30" s="18" t="s">
        <v>26</v>
      </c>
      <c r="B30" s="17">
        <f t="shared" si="4"/>
        <v>500</v>
      </c>
      <c r="C30" s="17">
        <v>500</v>
      </c>
      <c r="D30" s="17"/>
      <c r="E30" s="58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5.75">
      <c r="A31" s="18" t="s">
        <v>23</v>
      </c>
      <c r="B31" s="17">
        <f t="shared" si="4"/>
        <v>220</v>
      </c>
      <c r="C31" s="17">
        <v>220</v>
      </c>
      <c r="D31" s="17"/>
      <c r="E31" s="58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5.75">
      <c r="A32" s="18" t="s">
        <v>27</v>
      </c>
      <c r="B32" s="17">
        <f t="shared" si="4"/>
        <v>780</v>
      </c>
      <c r="C32" s="17">
        <v>780</v>
      </c>
      <c r="D32" s="17"/>
      <c r="E32" s="58"/>
      <c r="F32" s="17"/>
      <c r="G32" s="17"/>
      <c r="H32" s="17"/>
      <c r="I32" s="17"/>
      <c r="J32" s="17"/>
      <c r="K32" s="17"/>
      <c r="L32" s="17"/>
      <c r="M32" s="17"/>
      <c r="N32" s="17"/>
    </row>
    <row r="33" spans="1:14" s="10" customFormat="1" ht="26.25" customHeight="1">
      <c r="A33" s="239" t="s">
        <v>80</v>
      </c>
      <c r="B33" s="17">
        <f aca="true" t="shared" si="5" ref="B33:N33">SUM(B34:B39)</f>
        <v>1054000</v>
      </c>
      <c r="C33" s="17">
        <f t="shared" si="5"/>
        <v>317000</v>
      </c>
      <c r="D33" s="17">
        <f t="shared" si="5"/>
        <v>737000</v>
      </c>
      <c r="E33" s="17">
        <f t="shared" si="5"/>
        <v>63000</v>
      </c>
      <c r="F33" s="17">
        <f t="shared" si="5"/>
        <v>85000</v>
      </c>
      <c r="G33" s="17">
        <f t="shared" si="5"/>
        <v>120000</v>
      </c>
      <c r="H33" s="17">
        <f t="shared" si="5"/>
        <v>72000</v>
      </c>
      <c r="I33" s="17">
        <f t="shared" si="5"/>
        <v>93000</v>
      </c>
      <c r="J33" s="17">
        <f t="shared" si="5"/>
        <v>12000</v>
      </c>
      <c r="K33" s="17">
        <f t="shared" si="5"/>
        <v>60000</v>
      </c>
      <c r="L33" s="17">
        <f t="shared" si="5"/>
        <v>80000</v>
      </c>
      <c r="M33" s="17">
        <f t="shared" si="5"/>
        <v>22000</v>
      </c>
      <c r="N33" s="17">
        <f t="shared" si="5"/>
        <v>130000</v>
      </c>
    </row>
    <row r="34" spans="1:14" ht="15.75">
      <c r="A34" s="232" t="s">
        <v>19</v>
      </c>
      <c r="B34" s="17">
        <f aca="true" t="shared" si="6" ref="B34:B44">C34+D34</f>
        <v>959130</v>
      </c>
      <c r="C34" s="17">
        <v>279000</v>
      </c>
      <c r="D34" s="17">
        <f aca="true" t="shared" si="7" ref="D34:D44">SUM(E34:N34)</f>
        <v>680130</v>
      </c>
      <c r="E34" s="58">
        <v>49000</v>
      </c>
      <c r="F34" s="17">
        <v>74300</v>
      </c>
      <c r="G34" s="17">
        <v>114000</v>
      </c>
      <c r="H34" s="17">
        <v>65130</v>
      </c>
      <c r="I34" s="17">
        <v>89600</v>
      </c>
      <c r="J34" s="17">
        <v>9700</v>
      </c>
      <c r="K34" s="17">
        <v>56000</v>
      </c>
      <c r="L34" s="17">
        <v>75400</v>
      </c>
      <c r="M34" s="17">
        <v>20000</v>
      </c>
      <c r="N34" s="17">
        <v>127000</v>
      </c>
    </row>
    <row r="35" spans="1:14" ht="15.75">
      <c r="A35" s="18" t="s">
        <v>20</v>
      </c>
      <c r="B35" s="17">
        <f t="shared" si="6"/>
        <v>55300</v>
      </c>
      <c r="C35" s="17">
        <v>29070</v>
      </c>
      <c r="D35" s="17">
        <f t="shared" si="7"/>
        <v>26230</v>
      </c>
      <c r="E35" s="58">
        <v>10000</v>
      </c>
      <c r="F35" s="17">
        <v>1800</v>
      </c>
      <c r="G35" s="17">
        <v>3000</v>
      </c>
      <c r="H35" s="17">
        <v>3000</v>
      </c>
      <c r="I35" s="17">
        <v>750</v>
      </c>
      <c r="J35" s="17">
        <v>1100</v>
      </c>
      <c r="K35" s="17">
        <v>1800</v>
      </c>
      <c r="L35" s="17">
        <v>2800</v>
      </c>
      <c r="M35" s="17">
        <v>850</v>
      </c>
      <c r="N35" s="17">
        <v>1130</v>
      </c>
    </row>
    <row r="36" spans="1:14" s="29" customFormat="1" ht="15.75" customHeight="1">
      <c r="A36" s="233" t="s">
        <v>21</v>
      </c>
      <c r="B36" s="68">
        <f t="shared" si="6"/>
        <v>2800</v>
      </c>
      <c r="C36" s="68">
        <v>0</v>
      </c>
      <c r="D36" s="68">
        <f t="shared" si="7"/>
        <v>2800</v>
      </c>
      <c r="E36" s="59">
        <v>740</v>
      </c>
      <c r="F36" s="68">
        <v>200</v>
      </c>
      <c r="G36" s="68">
        <v>320</v>
      </c>
      <c r="H36" s="68">
        <v>50</v>
      </c>
      <c r="I36" s="68">
        <v>380</v>
      </c>
      <c r="J36" s="68">
        <v>370</v>
      </c>
      <c r="K36" s="68">
        <v>120</v>
      </c>
      <c r="L36" s="68">
        <v>550</v>
      </c>
      <c r="M36" s="68">
        <v>70</v>
      </c>
      <c r="N36" s="68">
        <v>0</v>
      </c>
    </row>
    <row r="37" spans="1:14" s="30" customFormat="1" ht="15.75">
      <c r="A37" s="68" t="s">
        <v>22</v>
      </c>
      <c r="B37" s="68">
        <f t="shared" si="6"/>
        <v>13000</v>
      </c>
      <c r="C37" s="68">
        <v>1550</v>
      </c>
      <c r="D37" s="68">
        <f t="shared" si="7"/>
        <v>11450</v>
      </c>
      <c r="E37" s="59">
        <v>350</v>
      </c>
      <c r="F37" s="68">
        <v>7560</v>
      </c>
      <c r="G37" s="68">
        <v>200</v>
      </c>
      <c r="H37" s="68">
        <v>1600</v>
      </c>
      <c r="I37" s="68">
        <v>550</v>
      </c>
      <c r="J37" s="68">
        <v>0</v>
      </c>
      <c r="K37" s="68">
        <v>250</v>
      </c>
      <c r="L37" s="68">
        <v>60</v>
      </c>
      <c r="M37" s="68">
        <v>530</v>
      </c>
      <c r="N37" s="68">
        <v>350</v>
      </c>
    </row>
    <row r="38" spans="1:14" ht="15.75">
      <c r="A38" s="18" t="s">
        <v>23</v>
      </c>
      <c r="B38" s="19">
        <f t="shared" si="6"/>
        <v>11710</v>
      </c>
      <c r="C38" s="19">
        <v>810</v>
      </c>
      <c r="D38" s="19">
        <f t="shared" si="7"/>
        <v>10900</v>
      </c>
      <c r="E38" s="59">
        <v>2050</v>
      </c>
      <c r="F38" s="19">
        <v>900</v>
      </c>
      <c r="G38" s="19">
        <v>1380</v>
      </c>
      <c r="H38" s="19">
        <v>820</v>
      </c>
      <c r="I38" s="19">
        <v>1230</v>
      </c>
      <c r="J38" s="19">
        <v>630</v>
      </c>
      <c r="K38" s="19">
        <v>1280</v>
      </c>
      <c r="L38" s="19">
        <v>940</v>
      </c>
      <c r="M38" s="19">
        <v>450</v>
      </c>
      <c r="N38" s="19">
        <v>1220</v>
      </c>
    </row>
    <row r="39" spans="1:14" s="29" customFormat="1" ht="15.75">
      <c r="A39" s="18" t="s">
        <v>28</v>
      </c>
      <c r="B39" s="19">
        <f t="shared" si="6"/>
        <v>12060</v>
      </c>
      <c r="C39" s="19">
        <v>6570</v>
      </c>
      <c r="D39" s="19">
        <f t="shared" si="7"/>
        <v>5490</v>
      </c>
      <c r="E39" s="59">
        <v>860</v>
      </c>
      <c r="F39" s="19">
        <v>240</v>
      </c>
      <c r="G39" s="19">
        <v>1100</v>
      </c>
      <c r="H39" s="19">
        <v>1400</v>
      </c>
      <c r="I39" s="19">
        <v>490</v>
      </c>
      <c r="J39" s="19">
        <v>200</v>
      </c>
      <c r="K39" s="19">
        <v>550</v>
      </c>
      <c r="L39" s="19">
        <v>250</v>
      </c>
      <c r="M39" s="19">
        <v>100</v>
      </c>
      <c r="N39" s="19">
        <v>300</v>
      </c>
    </row>
    <row r="40" spans="1:14" s="5" customFormat="1" ht="15.75">
      <c r="A40" s="239" t="s">
        <v>29</v>
      </c>
      <c r="B40" s="17">
        <f t="shared" si="6"/>
        <v>117000</v>
      </c>
      <c r="C40" s="17">
        <v>0</v>
      </c>
      <c r="D40" s="17">
        <f t="shared" si="7"/>
        <v>117000</v>
      </c>
      <c r="E40" s="58">
        <v>22500</v>
      </c>
      <c r="F40" s="17">
        <v>8000</v>
      </c>
      <c r="G40" s="17">
        <v>10700</v>
      </c>
      <c r="H40" s="17">
        <v>9500</v>
      </c>
      <c r="I40" s="17">
        <v>12300</v>
      </c>
      <c r="J40" s="17">
        <v>4000</v>
      </c>
      <c r="K40" s="17">
        <v>10600</v>
      </c>
      <c r="L40" s="17">
        <v>17200</v>
      </c>
      <c r="M40" s="17">
        <v>9200</v>
      </c>
      <c r="N40" s="17">
        <v>13000</v>
      </c>
    </row>
    <row r="41" spans="1:14" s="5" customFormat="1" ht="15.75">
      <c r="A41" s="239" t="s">
        <v>30</v>
      </c>
      <c r="B41" s="17">
        <f t="shared" si="6"/>
        <v>1500</v>
      </c>
      <c r="C41" s="17">
        <v>0</v>
      </c>
      <c r="D41" s="17">
        <f t="shared" si="7"/>
        <v>1500</v>
      </c>
      <c r="E41" s="58"/>
      <c r="F41" s="17"/>
      <c r="G41" s="17"/>
      <c r="H41" s="17">
        <v>80</v>
      </c>
      <c r="I41" s="17">
        <v>20</v>
      </c>
      <c r="J41" s="17"/>
      <c r="K41" s="17"/>
      <c r="L41" s="17">
        <v>1000</v>
      </c>
      <c r="M41" s="17">
        <v>220</v>
      </c>
      <c r="N41" s="17">
        <v>180</v>
      </c>
    </row>
    <row r="42" spans="1:14" s="5" customFormat="1" ht="16.5" customHeight="1">
      <c r="A42" s="239" t="s">
        <v>114</v>
      </c>
      <c r="B42" s="17">
        <f t="shared" si="6"/>
        <v>8800</v>
      </c>
      <c r="C42" s="17">
        <v>0</v>
      </c>
      <c r="D42" s="17">
        <f t="shared" si="7"/>
        <v>8800</v>
      </c>
      <c r="E42" s="58">
        <v>2500</v>
      </c>
      <c r="F42" s="17">
        <v>1200</v>
      </c>
      <c r="G42" s="17">
        <v>1600</v>
      </c>
      <c r="H42" s="17">
        <v>600</v>
      </c>
      <c r="I42" s="17">
        <v>400</v>
      </c>
      <c r="J42" s="17">
        <v>340</v>
      </c>
      <c r="K42" s="17">
        <v>630</v>
      </c>
      <c r="L42" s="17">
        <v>1000</v>
      </c>
      <c r="M42" s="17">
        <v>170</v>
      </c>
      <c r="N42" s="17">
        <v>360</v>
      </c>
    </row>
    <row r="43" spans="1:14" s="31" customFormat="1" ht="15.75">
      <c r="A43" s="239" t="s">
        <v>31</v>
      </c>
      <c r="B43" s="17">
        <f t="shared" si="6"/>
        <v>250000</v>
      </c>
      <c r="C43" s="17">
        <v>184000</v>
      </c>
      <c r="D43" s="17">
        <f t="shared" si="7"/>
        <v>66000</v>
      </c>
      <c r="E43" s="58">
        <v>12000</v>
      </c>
      <c r="F43" s="17">
        <v>4000</v>
      </c>
      <c r="G43" s="17">
        <v>3000</v>
      </c>
      <c r="H43" s="17">
        <v>7300</v>
      </c>
      <c r="I43" s="17">
        <v>8000</v>
      </c>
      <c r="J43" s="17">
        <v>1800</v>
      </c>
      <c r="K43" s="17">
        <v>5000</v>
      </c>
      <c r="L43" s="17">
        <v>13000</v>
      </c>
      <c r="M43" s="17">
        <v>7400</v>
      </c>
      <c r="N43" s="17">
        <v>4500</v>
      </c>
    </row>
    <row r="44" spans="1:14" s="31" customFormat="1" ht="15.75">
      <c r="A44" s="239" t="s">
        <v>112</v>
      </c>
      <c r="B44" s="17">
        <f t="shared" si="6"/>
        <v>26700</v>
      </c>
      <c r="C44" s="17">
        <v>25000</v>
      </c>
      <c r="D44" s="17">
        <f t="shared" si="7"/>
        <v>1700</v>
      </c>
      <c r="E44" s="58">
        <v>1700</v>
      </c>
      <c r="F44" s="17"/>
      <c r="G44" s="17"/>
      <c r="H44" s="17"/>
      <c r="I44" s="17"/>
      <c r="J44" s="17"/>
      <c r="K44" s="17"/>
      <c r="L44" s="17"/>
      <c r="M44" s="17"/>
      <c r="N44" s="17"/>
    </row>
    <row r="45" spans="1:14" s="5" customFormat="1" ht="15.75">
      <c r="A45" s="239" t="s">
        <v>81</v>
      </c>
      <c r="B45" s="17">
        <f>B46+B47</f>
        <v>34600</v>
      </c>
      <c r="C45" s="17">
        <f aca="true" t="shared" si="8" ref="C45:N45">SUM(C46:C47)</f>
        <v>14000</v>
      </c>
      <c r="D45" s="17">
        <f t="shared" si="8"/>
        <v>20600</v>
      </c>
      <c r="E45" s="17">
        <f t="shared" si="8"/>
        <v>2700</v>
      </c>
      <c r="F45" s="17">
        <f t="shared" si="8"/>
        <v>4500</v>
      </c>
      <c r="G45" s="17">
        <f>SUM(G46:G47)</f>
        <v>1500</v>
      </c>
      <c r="H45" s="17">
        <f t="shared" si="8"/>
        <v>1500</v>
      </c>
      <c r="I45" s="17">
        <f t="shared" si="8"/>
        <v>2300</v>
      </c>
      <c r="J45" s="17">
        <f t="shared" si="8"/>
        <v>650</v>
      </c>
      <c r="K45" s="17">
        <f t="shared" si="8"/>
        <v>2300</v>
      </c>
      <c r="L45" s="17">
        <f t="shared" si="8"/>
        <v>2500</v>
      </c>
      <c r="M45" s="17">
        <f t="shared" si="8"/>
        <v>950</v>
      </c>
      <c r="N45" s="17">
        <f t="shared" si="8"/>
        <v>1700</v>
      </c>
    </row>
    <row r="46" spans="1:14" ht="15.75" customHeight="1">
      <c r="A46" s="232" t="s">
        <v>32</v>
      </c>
      <c r="B46" s="17">
        <f aca="true" t="shared" si="9" ref="B46:B52">C46+D46</f>
        <v>0</v>
      </c>
      <c r="C46" s="17"/>
      <c r="D46" s="17">
        <f aca="true" t="shared" si="10" ref="D46:D52">SUM(E46:N46)</f>
        <v>0</v>
      </c>
      <c r="E46" s="58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5.75" customHeight="1">
      <c r="A47" s="232" t="s">
        <v>33</v>
      </c>
      <c r="B47" s="17">
        <f t="shared" si="9"/>
        <v>34600</v>
      </c>
      <c r="C47" s="17">
        <v>14000</v>
      </c>
      <c r="D47" s="17">
        <f t="shared" si="10"/>
        <v>20600</v>
      </c>
      <c r="E47" s="58">
        <v>2700</v>
      </c>
      <c r="F47" s="17">
        <v>4500</v>
      </c>
      <c r="G47" s="17">
        <v>1500</v>
      </c>
      <c r="H47" s="17">
        <v>1500</v>
      </c>
      <c r="I47" s="17">
        <v>2300</v>
      </c>
      <c r="J47" s="17">
        <v>650</v>
      </c>
      <c r="K47" s="17">
        <v>2300</v>
      </c>
      <c r="L47" s="17">
        <v>2500</v>
      </c>
      <c r="M47" s="17">
        <v>950</v>
      </c>
      <c r="N47" s="17">
        <v>1700</v>
      </c>
    </row>
    <row r="48" spans="1:14" s="5" customFormat="1" ht="15.75" customHeight="1">
      <c r="A48" s="239" t="s">
        <v>82</v>
      </c>
      <c r="B48" s="17">
        <f t="shared" si="9"/>
        <v>0</v>
      </c>
      <c r="C48" s="17"/>
      <c r="D48" s="17">
        <f t="shared" si="10"/>
        <v>0</v>
      </c>
      <c r="E48" s="58">
        <v>0</v>
      </c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/>
      <c r="N48" s="17">
        <v>0</v>
      </c>
    </row>
    <row r="49" spans="1:14" s="32" customFormat="1" ht="15.75">
      <c r="A49" s="239" t="s">
        <v>83</v>
      </c>
      <c r="B49" s="17">
        <f t="shared" si="9"/>
        <v>543000</v>
      </c>
      <c r="C49" s="17">
        <v>378000</v>
      </c>
      <c r="D49" s="17">
        <f t="shared" si="10"/>
        <v>165000</v>
      </c>
      <c r="E49" s="58">
        <v>53000</v>
      </c>
      <c r="F49" s="17">
        <v>12000</v>
      </c>
      <c r="G49" s="17">
        <v>10000</v>
      </c>
      <c r="H49" s="17">
        <v>14000</v>
      </c>
      <c r="I49" s="17">
        <v>15000</v>
      </c>
      <c r="J49" s="17">
        <v>4000</v>
      </c>
      <c r="K49" s="17">
        <v>22000</v>
      </c>
      <c r="L49" s="17">
        <v>15000</v>
      </c>
      <c r="M49" s="17">
        <v>10000</v>
      </c>
      <c r="N49" s="17">
        <v>10000</v>
      </c>
    </row>
    <row r="50" spans="1:14" s="32" customFormat="1" ht="15" customHeight="1">
      <c r="A50" s="240" t="s">
        <v>84</v>
      </c>
      <c r="B50" s="241">
        <f t="shared" si="9"/>
        <v>18800</v>
      </c>
      <c r="C50" s="241">
        <v>13000</v>
      </c>
      <c r="D50" s="241">
        <f t="shared" si="10"/>
        <v>5800</v>
      </c>
      <c r="E50" s="58">
        <v>300</v>
      </c>
      <c r="F50" s="241">
        <v>350</v>
      </c>
      <c r="G50" s="241">
        <v>50</v>
      </c>
      <c r="H50" s="241">
        <v>1750</v>
      </c>
      <c r="I50" s="241">
        <v>1000</v>
      </c>
      <c r="J50" s="241">
        <v>50</v>
      </c>
      <c r="K50" s="241">
        <v>550</v>
      </c>
      <c r="L50" s="241">
        <v>200</v>
      </c>
      <c r="M50" s="241">
        <v>1400</v>
      </c>
      <c r="N50" s="241">
        <v>150</v>
      </c>
    </row>
    <row r="51" spans="1:14" ht="15.75">
      <c r="A51" s="239" t="s">
        <v>85</v>
      </c>
      <c r="B51" s="17">
        <f t="shared" si="9"/>
        <v>46600</v>
      </c>
      <c r="C51" s="17">
        <v>27000</v>
      </c>
      <c r="D51" s="17">
        <f t="shared" si="10"/>
        <v>19600</v>
      </c>
      <c r="E51" s="58">
        <v>4900</v>
      </c>
      <c r="F51" s="17">
        <v>800</v>
      </c>
      <c r="G51" s="17">
        <v>1500</v>
      </c>
      <c r="H51" s="17">
        <v>1600</v>
      </c>
      <c r="I51" s="17">
        <v>400</v>
      </c>
      <c r="J51" s="17">
        <v>3500</v>
      </c>
      <c r="K51" s="17">
        <v>2500</v>
      </c>
      <c r="L51" s="17">
        <v>2800</v>
      </c>
      <c r="M51" s="17">
        <v>100</v>
      </c>
      <c r="N51" s="17">
        <v>1500</v>
      </c>
    </row>
    <row r="52" spans="1:14" ht="15.75">
      <c r="A52" s="239" t="s">
        <v>99</v>
      </c>
      <c r="B52" s="17">
        <f t="shared" si="9"/>
        <v>3000</v>
      </c>
      <c r="C52" s="17">
        <v>0</v>
      </c>
      <c r="D52" s="17">
        <f t="shared" si="10"/>
        <v>3000</v>
      </c>
      <c r="E52" s="58">
        <v>400</v>
      </c>
      <c r="F52" s="17">
        <v>150</v>
      </c>
      <c r="G52" s="17">
        <v>250</v>
      </c>
      <c r="H52" s="17">
        <v>670</v>
      </c>
      <c r="I52" s="17">
        <v>380</v>
      </c>
      <c r="J52" s="17">
        <v>260</v>
      </c>
      <c r="K52" s="17">
        <v>420</v>
      </c>
      <c r="L52" s="17">
        <v>100</v>
      </c>
      <c r="M52" s="17">
        <v>260</v>
      </c>
      <c r="N52" s="17">
        <v>110</v>
      </c>
    </row>
    <row r="53" spans="1:14" ht="31.5">
      <c r="A53" s="15" t="s">
        <v>93</v>
      </c>
      <c r="B53" s="16">
        <f>SUM(B54:B55)</f>
        <v>150000</v>
      </c>
      <c r="C53" s="16">
        <f>SUM(C54:C55)</f>
        <v>150000</v>
      </c>
      <c r="D53" s="16"/>
      <c r="E53" s="3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5" customFormat="1" ht="15.75" customHeight="1">
      <c r="A54" s="20" t="s">
        <v>34</v>
      </c>
      <c r="B54" s="17">
        <f>C54+D54</f>
        <v>10000</v>
      </c>
      <c r="C54" s="17">
        <v>10000</v>
      </c>
      <c r="D54" s="17"/>
      <c r="E54" s="58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3" customFormat="1" ht="15.75" customHeight="1">
      <c r="A55" s="20" t="s">
        <v>35</v>
      </c>
      <c r="B55" s="17">
        <f>C55+D55</f>
        <v>140000</v>
      </c>
      <c r="C55" s="17">
        <v>140000</v>
      </c>
      <c r="D55" s="17"/>
      <c r="E55" s="58"/>
      <c r="F55" s="17"/>
      <c r="G55" s="17"/>
      <c r="H55" s="17"/>
      <c r="I55" s="17"/>
      <c r="J55" s="17"/>
      <c r="K55" s="17"/>
      <c r="L55" s="17"/>
      <c r="M55" s="17"/>
      <c r="N55" s="17"/>
    </row>
    <row r="56" spans="1:14" ht="1.5" customHeight="1" hidden="1">
      <c r="A56" s="15" t="s">
        <v>36</v>
      </c>
      <c r="B56" s="16"/>
      <c r="C56" s="17"/>
      <c r="D56" s="17"/>
      <c r="E56" s="36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5" customHeight="1" hidden="1">
      <c r="A57" s="15" t="s">
        <v>37</v>
      </c>
      <c r="B57" s="16"/>
      <c r="C57" s="17"/>
      <c r="D57" s="17"/>
      <c r="E57" s="3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3" customFormat="1" ht="18" customHeight="1">
      <c r="A58" s="15" t="s">
        <v>38</v>
      </c>
      <c r="B58" s="16">
        <f aca="true" t="shared" si="11" ref="B58:N58">SUM(B59:B64)</f>
        <v>450000</v>
      </c>
      <c r="C58" s="16">
        <f t="shared" si="11"/>
        <v>333400</v>
      </c>
      <c r="D58" s="16">
        <f t="shared" si="11"/>
        <v>116600</v>
      </c>
      <c r="E58" s="16">
        <f t="shared" si="11"/>
        <v>8000</v>
      </c>
      <c r="F58" s="16">
        <f t="shared" si="11"/>
        <v>25000</v>
      </c>
      <c r="G58" s="16">
        <f t="shared" si="11"/>
        <v>14900</v>
      </c>
      <c r="H58" s="16">
        <f t="shared" si="11"/>
        <v>8000</v>
      </c>
      <c r="I58" s="16">
        <f t="shared" si="11"/>
        <v>11800</v>
      </c>
      <c r="J58" s="16">
        <f t="shared" si="11"/>
        <v>4400</v>
      </c>
      <c r="K58" s="16">
        <f t="shared" si="11"/>
        <v>16600</v>
      </c>
      <c r="L58" s="16">
        <f t="shared" si="11"/>
        <v>12400</v>
      </c>
      <c r="M58" s="16">
        <f t="shared" si="11"/>
        <v>7500</v>
      </c>
      <c r="N58" s="16">
        <f t="shared" si="11"/>
        <v>8000</v>
      </c>
    </row>
    <row r="59" spans="1:14" s="3" customFormat="1" ht="18.75" customHeight="1">
      <c r="A59" s="232" t="s">
        <v>68</v>
      </c>
      <c r="B59" s="17">
        <f aca="true" t="shared" si="12" ref="B59:B64">C59+D59</f>
        <v>200000</v>
      </c>
      <c r="C59" s="17">
        <v>200000</v>
      </c>
      <c r="D59" s="17">
        <f aca="true" t="shared" si="13" ref="D59:D64">SUM(E59:N59)</f>
        <v>0</v>
      </c>
      <c r="E59" s="58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3" customFormat="1" ht="15.75">
      <c r="A60" s="232" t="s">
        <v>69</v>
      </c>
      <c r="B60" s="17">
        <f t="shared" si="12"/>
        <v>28740</v>
      </c>
      <c r="C60" s="17">
        <v>15500</v>
      </c>
      <c r="D60" s="17">
        <f t="shared" si="13"/>
        <v>13240</v>
      </c>
      <c r="E60" s="58">
        <v>2400</v>
      </c>
      <c r="F60" s="17">
        <v>1650</v>
      </c>
      <c r="G60" s="17">
        <v>1550</v>
      </c>
      <c r="H60" s="17">
        <v>1700</v>
      </c>
      <c r="I60" s="17">
        <v>1200</v>
      </c>
      <c r="J60" s="17">
        <v>180</v>
      </c>
      <c r="K60" s="17">
        <v>1930</v>
      </c>
      <c r="L60" s="17">
        <v>430</v>
      </c>
      <c r="M60" s="17">
        <v>850</v>
      </c>
      <c r="N60" s="17">
        <v>1350</v>
      </c>
    </row>
    <row r="61" spans="1:14" ht="15.75">
      <c r="A61" s="232" t="s">
        <v>70</v>
      </c>
      <c r="B61" s="17">
        <f t="shared" si="12"/>
        <v>134050</v>
      </c>
      <c r="C61" s="17">
        <v>84500</v>
      </c>
      <c r="D61" s="17">
        <f t="shared" si="13"/>
        <v>49550</v>
      </c>
      <c r="E61" s="58">
        <v>1650</v>
      </c>
      <c r="F61" s="17">
        <v>12000</v>
      </c>
      <c r="G61" s="17">
        <v>8900</v>
      </c>
      <c r="H61" s="17">
        <v>800</v>
      </c>
      <c r="I61" s="17">
        <v>6500</v>
      </c>
      <c r="J61" s="17">
        <v>2300</v>
      </c>
      <c r="K61" s="17">
        <v>9850</v>
      </c>
      <c r="L61" s="17">
        <v>6900</v>
      </c>
      <c r="M61" s="17">
        <v>650</v>
      </c>
      <c r="N61" s="17">
        <v>0</v>
      </c>
    </row>
    <row r="62" spans="1:14" ht="15.75">
      <c r="A62" s="232" t="s">
        <v>43</v>
      </c>
      <c r="B62" s="17">
        <f t="shared" si="12"/>
        <v>11700</v>
      </c>
      <c r="C62" s="17">
        <v>0</v>
      </c>
      <c r="D62" s="17">
        <f t="shared" si="13"/>
        <v>11700</v>
      </c>
      <c r="E62" s="58">
        <v>1400</v>
      </c>
      <c r="F62" s="17">
        <v>1500</v>
      </c>
      <c r="G62" s="17">
        <v>750</v>
      </c>
      <c r="H62" s="17">
        <v>400</v>
      </c>
      <c r="I62" s="17">
        <v>600</v>
      </c>
      <c r="J62" s="17">
        <v>200</v>
      </c>
      <c r="K62" s="17">
        <v>1450</v>
      </c>
      <c r="L62" s="17">
        <v>1300</v>
      </c>
      <c r="M62" s="17">
        <v>1500</v>
      </c>
      <c r="N62" s="17">
        <v>2600</v>
      </c>
    </row>
    <row r="63" spans="1:14" ht="15.75">
      <c r="A63" s="232" t="s">
        <v>71</v>
      </c>
      <c r="B63" s="17">
        <f t="shared" si="12"/>
        <v>11170</v>
      </c>
      <c r="C63" s="17">
        <v>2300</v>
      </c>
      <c r="D63" s="17">
        <f t="shared" si="13"/>
        <v>8870</v>
      </c>
      <c r="E63" s="58">
        <v>1650</v>
      </c>
      <c r="F63" s="17">
        <v>750</v>
      </c>
      <c r="G63" s="17">
        <v>2000</v>
      </c>
      <c r="H63" s="17">
        <v>300</v>
      </c>
      <c r="I63" s="17">
        <v>350</v>
      </c>
      <c r="J63" s="17">
        <v>600</v>
      </c>
      <c r="K63" s="17">
        <v>1370</v>
      </c>
      <c r="L63" s="17">
        <v>300</v>
      </c>
      <c r="M63" s="17">
        <v>200</v>
      </c>
      <c r="N63" s="17">
        <v>1350</v>
      </c>
    </row>
    <row r="64" spans="1:14" ht="15.75">
      <c r="A64" s="232" t="s">
        <v>72</v>
      </c>
      <c r="B64" s="17">
        <f t="shared" si="12"/>
        <v>64340</v>
      </c>
      <c r="C64" s="17">
        <v>31100</v>
      </c>
      <c r="D64" s="17">
        <f t="shared" si="13"/>
        <v>33240</v>
      </c>
      <c r="E64" s="58">
        <v>900</v>
      </c>
      <c r="F64" s="17">
        <v>9100</v>
      </c>
      <c r="G64" s="17">
        <v>1700</v>
      </c>
      <c r="H64" s="17">
        <v>4800</v>
      </c>
      <c r="I64" s="17">
        <v>3150</v>
      </c>
      <c r="J64" s="17">
        <v>1120</v>
      </c>
      <c r="K64" s="17">
        <v>2000</v>
      </c>
      <c r="L64" s="17">
        <v>3470</v>
      </c>
      <c r="M64" s="17">
        <v>4300</v>
      </c>
      <c r="N64" s="17">
        <v>2700</v>
      </c>
    </row>
    <row r="65" spans="1:14" ht="15.75">
      <c r="A65" s="21" t="s">
        <v>39</v>
      </c>
      <c r="B65" s="16">
        <f aca="true" t="shared" si="14" ref="B65:N65">B66+B83</f>
        <v>5709312</v>
      </c>
      <c r="C65" s="16">
        <f t="shared" si="14"/>
        <v>2961356</v>
      </c>
      <c r="D65" s="16">
        <f t="shared" si="14"/>
        <v>2747956</v>
      </c>
      <c r="E65" s="36">
        <f t="shared" si="14"/>
        <v>324347</v>
      </c>
      <c r="F65" s="16">
        <f t="shared" si="14"/>
        <v>192084</v>
      </c>
      <c r="G65" s="16">
        <f t="shared" si="14"/>
        <v>200519</v>
      </c>
      <c r="H65" s="16">
        <f t="shared" si="14"/>
        <v>292434</v>
      </c>
      <c r="I65" s="16">
        <f t="shared" si="14"/>
        <v>308537</v>
      </c>
      <c r="J65" s="16">
        <f t="shared" si="14"/>
        <v>165888</v>
      </c>
      <c r="K65" s="16">
        <f t="shared" si="14"/>
        <v>357329</v>
      </c>
      <c r="L65" s="16">
        <f t="shared" si="14"/>
        <v>215776</v>
      </c>
      <c r="M65" s="16">
        <f t="shared" si="14"/>
        <v>271325</v>
      </c>
      <c r="N65" s="16">
        <f t="shared" si="14"/>
        <v>419717</v>
      </c>
    </row>
    <row r="66" spans="1:14" ht="31.5">
      <c r="A66" s="21" t="s">
        <v>16</v>
      </c>
      <c r="B66" s="16">
        <f>B67+B70+B77+B78+B79+B80+B81+B82</f>
        <v>5259312</v>
      </c>
      <c r="C66" s="16">
        <f>C67+C70+C77+C78+C79+C80+C81+C82</f>
        <v>2627956</v>
      </c>
      <c r="D66" s="16">
        <f>D67+D70+D77+D78+D79+D80+D81+D82</f>
        <v>2631356</v>
      </c>
      <c r="E66" s="16">
        <f aca="true" t="shared" si="15" ref="E66:N66">E67+E70+E80</f>
        <v>316347</v>
      </c>
      <c r="F66" s="16">
        <f t="shared" si="15"/>
        <v>167084</v>
      </c>
      <c r="G66" s="16">
        <f t="shared" si="15"/>
        <v>185619</v>
      </c>
      <c r="H66" s="16">
        <f t="shared" si="15"/>
        <v>284434</v>
      </c>
      <c r="I66" s="16">
        <f t="shared" si="15"/>
        <v>296737</v>
      </c>
      <c r="J66" s="16">
        <f t="shared" si="15"/>
        <v>161488</v>
      </c>
      <c r="K66" s="16">
        <f t="shared" si="15"/>
        <v>340729</v>
      </c>
      <c r="L66" s="16">
        <f t="shared" si="15"/>
        <v>203376</v>
      </c>
      <c r="M66" s="16">
        <f t="shared" si="15"/>
        <v>263825</v>
      </c>
      <c r="N66" s="16">
        <f t="shared" si="15"/>
        <v>411717</v>
      </c>
    </row>
    <row r="67" spans="1:14" ht="31.5">
      <c r="A67" s="242" t="s">
        <v>40</v>
      </c>
      <c r="B67" s="16">
        <f aca="true" t="shared" si="16" ref="B67:N67">B68+B69</f>
        <v>3199640</v>
      </c>
      <c r="C67" s="16">
        <f t="shared" si="16"/>
        <v>2181858</v>
      </c>
      <c r="D67" s="16">
        <f t="shared" si="16"/>
        <v>1017782</v>
      </c>
      <c r="E67" s="36">
        <f t="shared" si="16"/>
        <v>140725</v>
      </c>
      <c r="F67" s="16">
        <f t="shared" si="16"/>
        <v>99222</v>
      </c>
      <c r="G67" s="16">
        <f t="shared" si="16"/>
        <v>140047</v>
      </c>
      <c r="H67" s="16">
        <f t="shared" si="16"/>
        <v>95077</v>
      </c>
      <c r="I67" s="16">
        <f t="shared" si="16"/>
        <v>117205</v>
      </c>
      <c r="J67" s="16">
        <f t="shared" si="16"/>
        <v>22597</v>
      </c>
      <c r="K67" s="16">
        <f t="shared" si="16"/>
        <v>95647</v>
      </c>
      <c r="L67" s="16">
        <f t="shared" si="16"/>
        <v>115880</v>
      </c>
      <c r="M67" s="16">
        <f t="shared" si="16"/>
        <v>38955</v>
      </c>
      <c r="N67" s="16">
        <f t="shared" si="16"/>
        <v>152427</v>
      </c>
    </row>
    <row r="68" spans="1:14" ht="31.5">
      <c r="A68" s="20" t="s">
        <v>100</v>
      </c>
      <c r="B68" s="22">
        <f>B12-B19-B46-B69</f>
        <v>3103730</v>
      </c>
      <c r="C68" s="22">
        <f>B68-D68</f>
        <v>2140048</v>
      </c>
      <c r="D68" s="22">
        <f>SUM(E68:N68)</f>
        <v>963682</v>
      </c>
      <c r="E68" s="37">
        <f>E12-E36-E39-E50-E69-E43-E44-(2205+4400+175)+105</f>
        <v>130675</v>
      </c>
      <c r="F68" s="22">
        <f>F12-F36-F39-F50-F69-F43-F44-(6800-2000+8310-1000)+122</f>
        <v>92872</v>
      </c>
      <c r="G68" s="22">
        <f>G12-G36-G39-G50-G69-G43-G44-(4000+100)+17</f>
        <v>135417</v>
      </c>
      <c r="H68" s="22">
        <f>H12-H36-H39-H50-H69-H43-H44-(2785+1250)+612</f>
        <v>90487</v>
      </c>
      <c r="I68" s="22">
        <f>I12-I36-I39-I50-I69-I43-I44-(3200+2600+275)+350</f>
        <v>112895</v>
      </c>
      <c r="J68" s="22">
        <f>J12-J36-J39-J50-J69-J43-J44-(3200-1600)+17</f>
        <v>17557</v>
      </c>
      <c r="K68" s="22">
        <f>K12-K36-K39-K50-K69-K43-K44-(2200+125)+192</f>
        <v>89147</v>
      </c>
      <c r="L68" s="22">
        <f>L12-L36-L39-L50-L69-L43-L44-(2960+30)+70</f>
        <v>109540</v>
      </c>
      <c r="M68" s="22">
        <f>M12-M36-M39-M50-M69-M43-M44-(6000-2000+265)+490</f>
        <v>37195</v>
      </c>
      <c r="N68" s="22">
        <f>N12-N36-N39-N50-N69-N43-N44-(4000+175)+52</f>
        <v>147897</v>
      </c>
    </row>
    <row r="69" spans="1:14" s="4" customFormat="1" ht="31.5">
      <c r="A69" s="39" t="s">
        <v>101</v>
      </c>
      <c r="B69" s="37">
        <f>B38+B47+B51+B52</f>
        <v>95910</v>
      </c>
      <c r="C69" s="37">
        <f>B69-D69</f>
        <v>41810</v>
      </c>
      <c r="D69" s="22">
        <f>SUM(E69:N69)</f>
        <v>54100</v>
      </c>
      <c r="E69" s="37">
        <f>E38+E47+E51+E52</f>
        <v>10050</v>
      </c>
      <c r="F69" s="37">
        <f aca="true" t="shared" si="17" ref="F69:N69">F38+F47+F51+F52</f>
        <v>6350</v>
      </c>
      <c r="G69" s="37">
        <f t="shared" si="17"/>
        <v>4630</v>
      </c>
      <c r="H69" s="37">
        <f t="shared" si="17"/>
        <v>4590</v>
      </c>
      <c r="I69" s="37">
        <f t="shared" si="17"/>
        <v>4310</v>
      </c>
      <c r="J69" s="37">
        <f t="shared" si="17"/>
        <v>5040</v>
      </c>
      <c r="K69" s="37">
        <f t="shared" si="17"/>
        <v>6500</v>
      </c>
      <c r="L69" s="37">
        <f t="shared" si="17"/>
        <v>6340</v>
      </c>
      <c r="M69" s="37">
        <f t="shared" si="17"/>
        <v>1760</v>
      </c>
      <c r="N69" s="37">
        <f t="shared" si="17"/>
        <v>4530</v>
      </c>
    </row>
    <row r="70" spans="1:14" ht="31.5">
      <c r="A70" s="242" t="s">
        <v>41</v>
      </c>
      <c r="B70" s="15">
        <f>SUM(B71:B75)</f>
        <v>1525422</v>
      </c>
      <c r="C70" s="38">
        <f>B70-D70</f>
        <v>16182</v>
      </c>
      <c r="D70" s="15">
        <f>SUM(D71:D76)</f>
        <v>1509240</v>
      </c>
      <c r="E70" s="36">
        <f>SUM(E71:E76)</f>
        <v>157445</v>
      </c>
      <c r="F70" s="36">
        <f aca="true" t="shared" si="18" ref="F70:N70">SUM(F71:F76)</f>
        <v>63287</v>
      </c>
      <c r="G70" s="36">
        <f t="shared" si="18"/>
        <v>32376</v>
      </c>
      <c r="H70" s="36">
        <f t="shared" si="18"/>
        <v>181308</v>
      </c>
      <c r="I70" s="36">
        <f t="shared" si="18"/>
        <v>177609</v>
      </c>
      <c r="J70" s="36">
        <f t="shared" si="18"/>
        <v>135999</v>
      </c>
      <c r="K70" s="36">
        <f t="shared" si="18"/>
        <v>239449</v>
      </c>
      <c r="L70" s="36">
        <f t="shared" si="18"/>
        <v>72166</v>
      </c>
      <c r="M70" s="36">
        <f t="shared" si="18"/>
        <v>209506</v>
      </c>
      <c r="N70" s="36">
        <f t="shared" si="18"/>
        <v>240095</v>
      </c>
    </row>
    <row r="71" spans="1:14" ht="15" customHeight="1">
      <c r="A71" s="20" t="s">
        <v>90</v>
      </c>
      <c r="B71" s="22">
        <v>864922</v>
      </c>
      <c r="C71" s="22"/>
      <c r="D71" s="22">
        <f>SUM(E71:N71)</f>
        <v>1023842</v>
      </c>
      <c r="E71" s="60">
        <f>96370+13075+3500</f>
        <v>112945</v>
      </c>
      <c r="F71" s="23">
        <f>25322+9365</f>
        <v>34687</v>
      </c>
      <c r="G71" s="23">
        <f>16108+1768</f>
        <v>17876</v>
      </c>
      <c r="H71" s="22">
        <f>110445+4863</f>
        <v>115308</v>
      </c>
      <c r="I71" s="22">
        <f>131531+4678+1500</f>
        <v>137709</v>
      </c>
      <c r="J71" s="22">
        <f>85074+3000</f>
        <v>88074</v>
      </c>
      <c r="K71" s="22">
        <f>160366-717</f>
        <v>159649</v>
      </c>
      <c r="L71" s="22">
        <f>42874+15292+3000</f>
        <v>61166</v>
      </c>
      <c r="M71" s="22">
        <f>140633+3000</f>
        <v>143633</v>
      </c>
      <c r="N71" s="22">
        <f>147317+2478+3000</f>
        <v>152795</v>
      </c>
    </row>
    <row r="72" spans="1:14" ht="15" customHeight="1">
      <c r="A72" s="26" t="s">
        <v>91</v>
      </c>
      <c r="B72" s="27">
        <v>0</v>
      </c>
      <c r="C72" s="28">
        <v>0</v>
      </c>
      <c r="D72" s="27">
        <f>SUM(E72:N72)</f>
        <v>130000</v>
      </c>
      <c r="E72" s="60">
        <f>14000</f>
        <v>14000</v>
      </c>
      <c r="F72" s="28">
        <f>13600</f>
        <v>13600</v>
      </c>
      <c r="G72" s="28">
        <f>12000</f>
        <v>12000</v>
      </c>
      <c r="H72" s="28">
        <f>14000</f>
        <v>14000</v>
      </c>
      <c r="I72" s="28">
        <f>13900</f>
        <v>13900</v>
      </c>
      <c r="J72" s="28">
        <f>10500</f>
        <v>10500</v>
      </c>
      <c r="K72" s="28">
        <f>14800</f>
        <v>14800</v>
      </c>
      <c r="L72" s="28">
        <f>11000</f>
        <v>11000</v>
      </c>
      <c r="M72" s="28">
        <f>10700</f>
        <v>10700</v>
      </c>
      <c r="N72" s="28">
        <f>15500</f>
        <v>15500</v>
      </c>
    </row>
    <row r="73" spans="1:14" s="7" customFormat="1" ht="14.25" customHeight="1">
      <c r="A73" s="20" t="s">
        <v>92</v>
      </c>
      <c r="B73" s="22">
        <f>323090+30000+23860+10100</f>
        <v>387050</v>
      </c>
      <c r="C73" s="23"/>
      <c r="D73" s="22"/>
      <c r="E73" s="37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.75" customHeight="1">
      <c r="A74" s="20" t="s">
        <v>111</v>
      </c>
      <c r="B74" s="20">
        <v>173316</v>
      </c>
      <c r="C74" s="20"/>
      <c r="D74" s="22"/>
      <c r="E74" s="61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5.75" customHeight="1">
      <c r="A75" s="20" t="s">
        <v>97</v>
      </c>
      <c r="B75" s="20">
        <v>100134</v>
      </c>
      <c r="C75" s="20"/>
      <c r="D75" s="27">
        <f>SUM(E75:N75)</f>
        <v>0</v>
      </c>
      <c r="E75" s="61"/>
      <c r="F75" s="20"/>
      <c r="G75" s="20"/>
      <c r="H75" s="20"/>
      <c r="J75" s="20"/>
      <c r="K75" s="20"/>
      <c r="L75" s="20"/>
      <c r="M75" s="20"/>
      <c r="N75" s="20"/>
    </row>
    <row r="76" spans="1:14" ht="15.75" customHeight="1">
      <c r="A76" s="20" t="s">
        <v>116</v>
      </c>
      <c r="B76" s="52"/>
      <c r="C76" s="52"/>
      <c r="D76" s="27">
        <f>SUM(E76:N76)</f>
        <v>355398</v>
      </c>
      <c r="E76" s="234">
        <v>30500</v>
      </c>
      <c r="F76" s="235">
        <v>15000</v>
      </c>
      <c r="G76" s="235">
        <v>2500</v>
      </c>
      <c r="H76" s="235">
        <v>52000</v>
      </c>
      <c r="I76" s="236">
        <v>26000</v>
      </c>
      <c r="J76" s="235">
        <f>36000+1425</f>
        <v>37425</v>
      </c>
      <c r="K76" s="235">
        <v>65000</v>
      </c>
      <c r="L76" s="235">
        <v>0</v>
      </c>
      <c r="M76" s="235">
        <v>55173</v>
      </c>
      <c r="N76" s="235">
        <f>65400+6400</f>
        <v>71800</v>
      </c>
    </row>
    <row r="77" spans="1:14" ht="15.75" customHeight="1">
      <c r="A77" s="242" t="s">
        <v>108</v>
      </c>
      <c r="B77" s="40">
        <f>C77</f>
        <v>75000</v>
      </c>
      <c r="C77" s="40">
        <v>75000</v>
      </c>
      <c r="D77" s="43"/>
      <c r="E77" s="62"/>
      <c r="F77" s="44"/>
      <c r="G77" s="44"/>
      <c r="H77" s="44"/>
      <c r="I77" s="41"/>
      <c r="J77" s="44"/>
      <c r="K77" s="44"/>
      <c r="L77" s="44"/>
      <c r="M77" s="44"/>
      <c r="N77" s="44"/>
    </row>
    <row r="78" spans="1:14" ht="15.75" customHeight="1">
      <c r="A78" s="242" t="s">
        <v>109</v>
      </c>
      <c r="B78" s="40">
        <f>C78</f>
        <v>90234</v>
      </c>
      <c r="C78" s="15">
        <v>90234</v>
      </c>
      <c r="D78" s="27"/>
      <c r="E78" s="61"/>
      <c r="F78" s="20"/>
      <c r="G78" s="20"/>
      <c r="H78" s="20"/>
      <c r="I78" s="42"/>
      <c r="J78" s="20"/>
      <c r="K78" s="20"/>
      <c r="L78" s="20"/>
      <c r="M78" s="20"/>
      <c r="N78" s="20"/>
    </row>
    <row r="79" spans="1:14" ht="15.75" customHeight="1">
      <c r="A79" s="243" t="s">
        <v>110</v>
      </c>
      <c r="B79" s="45">
        <f>C79</f>
        <v>37858</v>
      </c>
      <c r="C79" s="46">
        <f>15910+19079+2869</f>
        <v>37858</v>
      </c>
      <c r="D79" s="47"/>
      <c r="E79" s="63"/>
      <c r="F79" s="48"/>
      <c r="G79" s="48"/>
      <c r="H79" s="48"/>
      <c r="I79" s="49"/>
      <c r="J79" s="48"/>
      <c r="K79" s="48"/>
      <c r="L79" s="48"/>
      <c r="M79" s="48"/>
      <c r="N79" s="48"/>
    </row>
    <row r="80" spans="1:14" s="3" customFormat="1" ht="15.75" customHeight="1">
      <c r="A80" s="242" t="s">
        <v>115</v>
      </c>
      <c r="B80" s="15">
        <f>C80+D80</f>
        <v>104334</v>
      </c>
      <c r="C80" s="120">
        <v>0</v>
      </c>
      <c r="D80" s="120">
        <f>SUM(E80:N80)</f>
        <v>104334</v>
      </c>
      <c r="E80" s="38">
        <v>18177</v>
      </c>
      <c r="F80" s="15">
        <v>4575</v>
      </c>
      <c r="G80" s="15">
        <v>13196</v>
      </c>
      <c r="H80" s="15">
        <v>8049</v>
      </c>
      <c r="I80" s="119">
        <v>1923</v>
      </c>
      <c r="J80" s="15">
        <v>2892</v>
      </c>
      <c r="K80" s="15">
        <v>5633</v>
      </c>
      <c r="L80" s="15">
        <v>15330</v>
      </c>
      <c r="M80" s="15">
        <v>15364</v>
      </c>
      <c r="N80" s="15">
        <v>19195</v>
      </c>
    </row>
    <row r="81" spans="1:14" ht="37.5" customHeight="1">
      <c r="A81" s="243" t="s">
        <v>341</v>
      </c>
      <c r="B81" s="45">
        <f>C81</f>
        <v>76824</v>
      </c>
      <c r="C81" s="46">
        <v>76824</v>
      </c>
      <c r="D81" s="47"/>
      <c r="E81" s="63"/>
      <c r="F81" s="48"/>
      <c r="G81" s="48"/>
      <c r="H81" s="48"/>
      <c r="I81" s="49"/>
      <c r="J81" s="48"/>
      <c r="K81" s="48"/>
      <c r="L81" s="48"/>
      <c r="M81" s="48"/>
      <c r="N81" s="48"/>
    </row>
    <row r="82" spans="1:14" ht="18" customHeight="1">
      <c r="A82" s="242" t="s">
        <v>118</v>
      </c>
      <c r="B82" s="15">
        <f>C82</f>
        <v>150000</v>
      </c>
      <c r="C82" s="15">
        <v>150000</v>
      </c>
      <c r="D82" s="27"/>
      <c r="E82" s="61"/>
      <c r="F82" s="20"/>
      <c r="G82" s="20"/>
      <c r="H82" s="20"/>
      <c r="I82" s="53"/>
      <c r="J82" s="20"/>
      <c r="K82" s="20"/>
      <c r="L82" s="20"/>
      <c r="M82" s="20"/>
      <c r="N82" s="20"/>
    </row>
    <row r="83" spans="1:14" s="5" customFormat="1" ht="19.5" customHeight="1">
      <c r="A83" s="50" t="s">
        <v>67</v>
      </c>
      <c r="B83" s="51">
        <f aca="true" t="shared" si="19" ref="B83:N83">SUM(B84:B89)</f>
        <v>450000</v>
      </c>
      <c r="C83" s="51">
        <f t="shared" si="19"/>
        <v>333400</v>
      </c>
      <c r="D83" s="51">
        <f t="shared" si="19"/>
        <v>116600</v>
      </c>
      <c r="E83" s="64">
        <f t="shared" si="19"/>
        <v>8000</v>
      </c>
      <c r="F83" s="51">
        <f t="shared" si="19"/>
        <v>25000</v>
      </c>
      <c r="G83" s="51">
        <f t="shared" si="19"/>
        <v>14900</v>
      </c>
      <c r="H83" s="51">
        <f t="shared" si="19"/>
        <v>8000</v>
      </c>
      <c r="I83" s="51">
        <f t="shared" si="19"/>
        <v>11800</v>
      </c>
      <c r="J83" s="51">
        <f t="shared" si="19"/>
        <v>4400</v>
      </c>
      <c r="K83" s="51">
        <f t="shared" si="19"/>
        <v>16600</v>
      </c>
      <c r="L83" s="51">
        <f t="shared" si="19"/>
        <v>12400</v>
      </c>
      <c r="M83" s="51">
        <f t="shared" si="19"/>
        <v>7500</v>
      </c>
      <c r="N83" s="51">
        <f t="shared" si="19"/>
        <v>8000</v>
      </c>
    </row>
    <row r="84" spans="1:14" s="11" customFormat="1" ht="15.75">
      <c r="A84" s="237" t="s">
        <v>68</v>
      </c>
      <c r="B84" s="17">
        <f aca="true" t="shared" si="20" ref="B84:B89">C84+D84</f>
        <v>200000</v>
      </c>
      <c r="C84" s="17">
        <f aca="true" t="shared" si="21" ref="C84:C89">C59</f>
        <v>200000</v>
      </c>
      <c r="D84" s="17">
        <f aca="true" t="shared" si="22" ref="D84:D89">SUM(E84:N84)</f>
        <v>0</v>
      </c>
      <c r="E84" s="58"/>
      <c r="F84" s="17"/>
      <c r="G84" s="17"/>
      <c r="H84" s="17"/>
      <c r="I84" s="17"/>
      <c r="J84" s="17"/>
      <c r="K84" s="17"/>
      <c r="L84" s="17"/>
      <c r="M84" s="17"/>
      <c r="N84" s="17"/>
    </row>
    <row r="85" spans="1:14" s="8" customFormat="1" ht="16.5" customHeight="1">
      <c r="A85" s="232" t="s">
        <v>69</v>
      </c>
      <c r="B85" s="17">
        <f t="shared" si="20"/>
        <v>28740</v>
      </c>
      <c r="C85" s="17">
        <f t="shared" si="21"/>
        <v>15500</v>
      </c>
      <c r="D85" s="17">
        <f t="shared" si="22"/>
        <v>13240</v>
      </c>
      <c r="E85" s="58">
        <f aca="true" t="shared" si="23" ref="E85:N85">E60</f>
        <v>2400</v>
      </c>
      <c r="F85" s="17">
        <f t="shared" si="23"/>
        <v>1650</v>
      </c>
      <c r="G85" s="17">
        <f t="shared" si="23"/>
        <v>1550</v>
      </c>
      <c r="H85" s="17">
        <f t="shared" si="23"/>
        <v>1700</v>
      </c>
      <c r="I85" s="17">
        <f t="shared" si="23"/>
        <v>1200</v>
      </c>
      <c r="J85" s="17">
        <f t="shared" si="23"/>
        <v>180</v>
      </c>
      <c r="K85" s="17">
        <f t="shared" si="23"/>
        <v>1930</v>
      </c>
      <c r="L85" s="17">
        <f t="shared" si="23"/>
        <v>430</v>
      </c>
      <c r="M85" s="17">
        <f t="shared" si="23"/>
        <v>850</v>
      </c>
      <c r="N85" s="17">
        <f t="shared" si="23"/>
        <v>1350</v>
      </c>
    </row>
    <row r="86" spans="1:14" s="4" customFormat="1" ht="15.75">
      <c r="A86" s="232" t="s">
        <v>70</v>
      </c>
      <c r="B86" s="17">
        <f t="shared" si="20"/>
        <v>134050</v>
      </c>
      <c r="C86" s="17">
        <f t="shared" si="21"/>
        <v>84500</v>
      </c>
      <c r="D86" s="17">
        <f t="shared" si="22"/>
        <v>49550</v>
      </c>
      <c r="E86" s="58">
        <f aca="true" t="shared" si="24" ref="E86:N86">E61</f>
        <v>1650</v>
      </c>
      <c r="F86" s="17">
        <f t="shared" si="24"/>
        <v>12000</v>
      </c>
      <c r="G86" s="17">
        <f t="shared" si="24"/>
        <v>8900</v>
      </c>
      <c r="H86" s="17">
        <f t="shared" si="24"/>
        <v>800</v>
      </c>
      <c r="I86" s="17">
        <f t="shared" si="24"/>
        <v>6500</v>
      </c>
      <c r="J86" s="17">
        <f t="shared" si="24"/>
        <v>2300</v>
      </c>
      <c r="K86" s="17">
        <f t="shared" si="24"/>
        <v>9850</v>
      </c>
      <c r="L86" s="17">
        <f t="shared" si="24"/>
        <v>6900</v>
      </c>
      <c r="M86" s="17">
        <f t="shared" si="24"/>
        <v>650</v>
      </c>
      <c r="N86" s="17">
        <f t="shared" si="24"/>
        <v>0</v>
      </c>
    </row>
    <row r="87" spans="1:14" s="4" customFormat="1" ht="15.75">
      <c r="A87" s="232" t="s">
        <v>43</v>
      </c>
      <c r="B87" s="17">
        <f t="shared" si="20"/>
        <v>11700</v>
      </c>
      <c r="C87" s="17">
        <f t="shared" si="21"/>
        <v>0</v>
      </c>
      <c r="D87" s="17">
        <f t="shared" si="22"/>
        <v>11700</v>
      </c>
      <c r="E87" s="58">
        <f aca="true" t="shared" si="25" ref="E87:N87">E62</f>
        <v>1400</v>
      </c>
      <c r="F87" s="17">
        <f t="shared" si="25"/>
        <v>1500</v>
      </c>
      <c r="G87" s="17">
        <f t="shared" si="25"/>
        <v>750</v>
      </c>
      <c r="H87" s="17">
        <f t="shared" si="25"/>
        <v>400</v>
      </c>
      <c r="I87" s="17">
        <f t="shared" si="25"/>
        <v>600</v>
      </c>
      <c r="J87" s="17">
        <f t="shared" si="25"/>
        <v>200</v>
      </c>
      <c r="K87" s="17">
        <f t="shared" si="25"/>
        <v>1450</v>
      </c>
      <c r="L87" s="17">
        <f t="shared" si="25"/>
        <v>1300</v>
      </c>
      <c r="M87" s="17">
        <f t="shared" si="25"/>
        <v>1500</v>
      </c>
      <c r="N87" s="17">
        <f t="shared" si="25"/>
        <v>2600</v>
      </c>
    </row>
    <row r="88" spans="1:14" s="5" customFormat="1" ht="15.75">
      <c r="A88" s="232" t="s">
        <v>71</v>
      </c>
      <c r="B88" s="17">
        <f t="shared" si="20"/>
        <v>11170</v>
      </c>
      <c r="C88" s="17">
        <f t="shared" si="21"/>
        <v>2300</v>
      </c>
      <c r="D88" s="17">
        <f t="shared" si="22"/>
        <v>8870</v>
      </c>
      <c r="E88" s="58">
        <f aca="true" t="shared" si="26" ref="E88:N88">E63</f>
        <v>1650</v>
      </c>
      <c r="F88" s="17">
        <f t="shared" si="26"/>
        <v>750</v>
      </c>
      <c r="G88" s="17">
        <f t="shared" si="26"/>
        <v>2000</v>
      </c>
      <c r="H88" s="17">
        <f t="shared" si="26"/>
        <v>300</v>
      </c>
      <c r="I88" s="17">
        <f t="shared" si="26"/>
        <v>350</v>
      </c>
      <c r="J88" s="17">
        <f t="shared" si="26"/>
        <v>600</v>
      </c>
      <c r="K88" s="17">
        <f t="shared" si="26"/>
        <v>1370</v>
      </c>
      <c r="L88" s="17">
        <f t="shared" si="26"/>
        <v>300</v>
      </c>
      <c r="M88" s="17">
        <f t="shared" si="26"/>
        <v>200</v>
      </c>
      <c r="N88" s="17">
        <f t="shared" si="26"/>
        <v>1350</v>
      </c>
    </row>
    <row r="89" spans="1:14" s="9" customFormat="1" ht="15.75">
      <c r="A89" s="238" t="s">
        <v>72</v>
      </c>
      <c r="B89" s="24">
        <f t="shared" si="20"/>
        <v>64340</v>
      </c>
      <c r="C89" s="24">
        <f t="shared" si="21"/>
        <v>31100</v>
      </c>
      <c r="D89" s="24">
        <f t="shared" si="22"/>
        <v>33240</v>
      </c>
      <c r="E89" s="65">
        <f aca="true" t="shared" si="27" ref="E89:N89">E64</f>
        <v>900</v>
      </c>
      <c r="F89" s="24">
        <f t="shared" si="27"/>
        <v>9100</v>
      </c>
      <c r="G89" s="24">
        <f t="shared" si="27"/>
        <v>1700</v>
      </c>
      <c r="H89" s="24">
        <f t="shared" si="27"/>
        <v>4800</v>
      </c>
      <c r="I89" s="24">
        <f t="shared" si="27"/>
        <v>3150</v>
      </c>
      <c r="J89" s="24">
        <f t="shared" si="27"/>
        <v>1120</v>
      </c>
      <c r="K89" s="24">
        <f t="shared" si="27"/>
        <v>2000</v>
      </c>
      <c r="L89" s="24">
        <f t="shared" si="27"/>
        <v>3470</v>
      </c>
      <c r="M89" s="24">
        <f t="shared" si="27"/>
        <v>4300</v>
      </c>
      <c r="N89" s="24">
        <f t="shared" si="27"/>
        <v>2700</v>
      </c>
    </row>
  </sheetData>
  <mergeCells count="10">
    <mergeCell ref="A2:N2"/>
    <mergeCell ref="A3:N3"/>
    <mergeCell ref="A4:N4"/>
    <mergeCell ref="A1:C1"/>
    <mergeCell ref="A6:A8"/>
    <mergeCell ref="B6:B8"/>
    <mergeCell ref="C6:N6"/>
    <mergeCell ref="C7:C8"/>
    <mergeCell ref="D7:D8"/>
    <mergeCell ref="E7:N7"/>
  </mergeCells>
  <printOptions/>
  <pageMargins left="0.14" right="0.14" top="0.25" bottom="0.81" header="0.15" footer="0.511811023622047"/>
  <pageSetup horizontalDpi="1200" verticalDpi="1200" orientation="landscape" paperSize="9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6">
      <selection activeCell="I14" sqref="I14"/>
    </sheetView>
  </sheetViews>
  <sheetFormatPr defaultColWidth="9.140625" defaultRowHeight="12.75"/>
  <cols>
    <col min="1" max="1" width="5.00390625" style="121" customWidth="1"/>
    <col min="2" max="2" width="33.421875" style="123" customWidth="1"/>
    <col min="3" max="3" width="14.00390625" style="121" customWidth="1"/>
    <col min="4" max="5" width="12.57421875" style="121" customWidth="1"/>
    <col min="6" max="6" width="11.421875" style="121" customWidth="1"/>
    <col min="7" max="7" width="11.57421875" style="121" customWidth="1"/>
    <col min="8" max="16384" width="10.28125" style="121" customWidth="1"/>
  </cols>
  <sheetData>
    <row r="1" spans="1:3" ht="15.75" customHeight="1">
      <c r="A1" s="168" t="s">
        <v>328</v>
      </c>
      <c r="B1" s="168"/>
      <c r="C1" s="168"/>
    </row>
    <row r="3" spans="1:7" ht="18.75">
      <c r="A3" s="200" t="s">
        <v>121</v>
      </c>
      <c r="B3" s="200"/>
      <c r="C3" s="200"/>
      <c r="D3" s="200"/>
      <c r="E3" s="200"/>
      <c r="F3" s="200"/>
      <c r="G3" s="200"/>
    </row>
    <row r="4" spans="1:7" ht="18.75">
      <c r="A4" s="200" t="s">
        <v>122</v>
      </c>
      <c r="B4" s="200"/>
      <c r="C4" s="200"/>
      <c r="D4" s="200"/>
      <c r="E4" s="200"/>
      <c r="F4" s="200"/>
      <c r="G4" s="200"/>
    </row>
    <row r="5" spans="1:7" s="122" customFormat="1" ht="18.75">
      <c r="A5" s="200" t="s">
        <v>123</v>
      </c>
      <c r="B5" s="200"/>
      <c r="C5" s="200"/>
      <c r="D5" s="200"/>
      <c r="E5" s="200"/>
      <c r="F5" s="200"/>
      <c r="G5" s="200"/>
    </row>
    <row r="6" spans="1:7" s="122" customFormat="1" ht="36.75" customHeight="1">
      <c r="A6" s="212" t="s">
        <v>338</v>
      </c>
      <c r="B6" s="244"/>
      <c r="C6" s="244"/>
      <c r="D6" s="244"/>
      <c r="E6" s="244"/>
      <c r="F6" s="244"/>
      <c r="G6" s="244"/>
    </row>
    <row r="7" spans="2:14" s="122" customFormat="1" ht="16.5">
      <c r="B7" s="117"/>
      <c r="C7" s="124"/>
      <c r="D7" s="124"/>
      <c r="E7" s="199" t="s">
        <v>343</v>
      </c>
      <c r="F7" s="199"/>
      <c r="G7" s="199"/>
      <c r="H7" s="121"/>
      <c r="I7" s="121"/>
      <c r="J7" s="121"/>
      <c r="K7" s="121"/>
      <c r="L7" s="121"/>
      <c r="M7" s="121"/>
      <c r="N7" s="121"/>
    </row>
    <row r="8" spans="1:7" ht="15.75" customHeight="1">
      <c r="A8" s="204" t="s">
        <v>124</v>
      </c>
      <c r="B8" s="207" t="s">
        <v>125</v>
      </c>
      <c r="C8" s="191" t="s">
        <v>126</v>
      </c>
      <c r="D8" s="201" t="s">
        <v>2</v>
      </c>
      <c r="E8" s="202"/>
      <c r="F8" s="202"/>
      <c r="G8" s="203"/>
    </row>
    <row r="9" spans="1:14" ht="15.75" customHeight="1">
      <c r="A9" s="205"/>
      <c r="B9" s="208"/>
      <c r="C9" s="192"/>
      <c r="D9" s="194" t="s">
        <v>127</v>
      </c>
      <c r="E9" s="196" t="s">
        <v>128</v>
      </c>
      <c r="F9" s="197"/>
      <c r="G9" s="198"/>
      <c r="H9" s="125"/>
      <c r="I9" s="125"/>
      <c r="J9" s="125"/>
      <c r="K9" s="125"/>
      <c r="L9" s="125"/>
      <c r="M9" s="125"/>
      <c r="N9" s="125"/>
    </row>
    <row r="10" spans="1:7" s="125" customFormat="1" ht="47.25" customHeight="1">
      <c r="A10" s="206"/>
      <c r="B10" s="209"/>
      <c r="C10" s="193"/>
      <c r="D10" s="195"/>
      <c r="E10" s="126" t="s">
        <v>129</v>
      </c>
      <c r="F10" s="126" t="s">
        <v>130</v>
      </c>
      <c r="G10" s="126" t="s">
        <v>131</v>
      </c>
    </row>
    <row r="11" spans="1:14" s="125" customFormat="1" ht="18.75">
      <c r="A11" s="127">
        <v>1</v>
      </c>
      <c r="B11" s="128">
        <v>2</v>
      </c>
      <c r="C11" s="127" t="s">
        <v>132</v>
      </c>
      <c r="D11" s="128">
        <v>4</v>
      </c>
      <c r="E11" s="127">
        <v>5</v>
      </c>
      <c r="F11" s="128">
        <v>6</v>
      </c>
      <c r="G11" s="127">
        <v>7</v>
      </c>
      <c r="H11" s="129"/>
      <c r="I11" s="129"/>
      <c r="J11" s="129"/>
      <c r="K11" s="129"/>
      <c r="L11" s="129"/>
      <c r="M11" s="129"/>
      <c r="N11" s="129"/>
    </row>
    <row r="12" spans="1:14" s="129" customFormat="1" ht="30" customHeight="1">
      <c r="A12" s="246"/>
      <c r="B12" s="247" t="s">
        <v>126</v>
      </c>
      <c r="C12" s="248">
        <f>SUM(C13:C23)</f>
        <v>1509240</v>
      </c>
      <c r="D12" s="248">
        <f>SUM(D13:D23)</f>
        <v>1006842</v>
      </c>
      <c r="E12" s="248">
        <f>SUM(E13:E23)</f>
        <v>355398</v>
      </c>
      <c r="F12" s="248">
        <f>SUM(F13:F23)</f>
        <v>130000</v>
      </c>
      <c r="G12" s="248">
        <f>SUM(G13:G23)</f>
        <v>17000</v>
      </c>
      <c r="H12" s="130"/>
      <c r="I12" s="130"/>
      <c r="J12" s="130"/>
      <c r="K12" s="130"/>
      <c r="L12" s="130"/>
      <c r="M12" s="130"/>
      <c r="N12" s="130"/>
    </row>
    <row r="13" spans="1:14" s="130" customFormat="1" ht="24" customHeight="1">
      <c r="A13" s="131">
        <v>1</v>
      </c>
      <c r="B13" s="132" t="s">
        <v>133</v>
      </c>
      <c r="C13" s="133">
        <f aca="true" t="shared" si="0" ref="C13:C22">SUM(D13:G13)</f>
        <v>157445</v>
      </c>
      <c r="D13" s="133">
        <f>'[4]Thu huyen'!B44</f>
        <v>109445</v>
      </c>
      <c r="E13" s="133">
        <f>'PL 3'!E76</f>
        <v>30500</v>
      </c>
      <c r="F13" s="133">
        <f>'[4]Thu huyen'!B45</f>
        <v>14000</v>
      </c>
      <c r="G13" s="133">
        <f>'[4]Tong hop Thu'!E71</f>
        <v>3500</v>
      </c>
      <c r="H13" s="134"/>
      <c r="I13" s="134"/>
      <c r="J13" s="134"/>
      <c r="K13" s="134"/>
      <c r="L13" s="134"/>
      <c r="M13" s="134"/>
      <c r="N13" s="134"/>
    </row>
    <row r="14" spans="1:7" s="134" customFormat="1" ht="18.75">
      <c r="A14" s="131">
        <v>2</v>
      </c>
      <c r="B14" s="132" t="s">
        <v>134</v>
      </c>
      <c r="C14" s="133">
        <f t="shared" si="0"/>
        <v>63287</v>
      </c>
      <c r="D14" s="133">
        <f>'[4]Thu huyen'!C44</f>
        <v>34687</v>
      </c>
      <c r="E14" s="133">
        <f>'PL 3'!F76</f>
        <v>15000</v>
      </c>
      <c r="F14" s="133">
        <f>'[4]Thu huyen'!C45</f>
        <v>13600</v>
      </c>
      <c r="G14" s="133">
        <f>'[4]Tong hop Thu'!F71</f>
        <v>0</v>
      </c>
    </row>
    <row r="15" spans="1:14" s="134" customFormat="1" ht="18.75">
      <c r="A15" s="131">
        <v>3</v>
      </c>
      <c r="B15" s="132" t="s">
        <v>135</v>
      </c>
      <c r="C15" s="133">
        <f t="shared" si="0"/>
        <v>32376</v>
      </c>
      <c r="D15" s="133">
        <f>'[4]Thu huyen'!D44</f>
        <v>17876</v>
      </c>
      <c r="E15" s="133">
        <f>'PL 3'!G76</f>
        <v>2500</v>
      </c>
      <c r="F15" s="133">
        <f>'[4]Thu huyen'!D45</f>
        <v>12000</v>
      </c>
      <c r="G15" s="133">
        <f>'[4]Tong hop Thu'!G71</f>
        <v>0</v>
      </c>
      <c r="H15" s="135"/>
      <c r="I15" s="135"/>
      <c r="J15" s="135"/>
      <c r="K15" s="135"/>
      <c r="L15" s="135"/>
      <c r="M15" s="135"/>
      <c r="N15" s="135"/>
    </row>
    <row r="16" spans="1:7" s="135" customFormat="1" ht="18.75">
      <c r="A16" s="131">
        <v>4</v>
      </c>
      <c r="B16" s="132" t="s">
        <v>136</v>
      </c>
      <c r="C16" s="133">
        <f t="shared" si="0"/>
        <v>181308</v>
      </c>
      <c r="D16" s="133">
        <f>'[4]Thu huyen'!E44</f>
        <v>115308</v>
      </c>
      <c r="E16" s="133">
        <f>'PL 3'!H76</f>
        <v>52000</v>
      </c>
      <c r="F16" s="133">
        <f>'[4]Thu huyen'!E45</f>
        <v>14000</v>
      </c>
      <c r="G16" s="133">
        <f>'[4]Tong hop Thu'!H71</f>
        <v>0</v>
      </c>
    </row>
    <row r="17" spans="1:14" s="135" customFormat="1" ht="18.75">
      <c r="A17" s="131">
        <v>5</v>
      </c>
      <c r="B17" s="132" t="s">
        <v>137</v>
      </c>
      <c r="C17" s="133">
        <f t="shared" si="0"/>
        <v>177609</v>
      </c>
      <c r="D17" s="133">
        <f>'[4]Thu huyen'!F44</f>
        <v>136209</v>
      </c>
      <c r="E17" s="133">
        <f>'PL 3'!I76</f>
        <v>26000</v>
      </c>
      <c r="F17" s="133">
        <f>'[4]Thu huyen'!F45</f>
        <v>13900</v>
      </c>
      <c r="G17" s="133">
        <f>'[4]Tong hop Thu'!I71</f>
        <v>1500</v>
      </c>
      <c r="H17" s="134"/>
      <c r="I17" s="134"/>
      <c r="J17" s="134"/>
      <c r="K17" s="134"/>
      <c r="L17" s="134"/>
      <c r="M17" s="134"/>
      <c r="N17" s="134"/>
    </row>
    <row r="18" spans="1:7" s="134" customFormat="1" ht="18.75">
      <c r="A18" s="131">
        <v>6</v>
      </c>
      <c r="B18" s="132" t="s">
        <v>138</v>
      </c>
      <c r="C18" s="133">
        <f t="shared" si="0"/>
        <v>135999</v>
      </c>
      <c r="D18" s="133">
        <f>'[4]Thu huyen'!G44</f>
        <v>85074</v>
      </c>
      <c r="E18" s="133">
        <f>'PL 3'!J76</f>
        <v>37425</v>
      </c>
      <c r="F18" s="133">
        <f>'[4]Thu huyen'!G45</f>
        <v>10500</v>
      </c>
      <c r="G18" s="133">
        <f>'[4]Tong hop Thu'!J71</f>
        <v>3000</v>
      </c>
    </row>
    <row r="19" spans="1:7" s="134" customFormat="1" ht="18.75">
      <c r="A19" s="131">
        <v>7</v>
      </c>
      <c r="B19" s="132" t="s">
        <v>139</v>
      </c>
      <c r="C19" s="133">
        <f t="shared" si="0"/>
        <v>239449</v>
      </c>
      <c r="D19" s="133">
        <f>'[4]Thu huyen'!H44</f>
        <v>159649</v>
      </c>
      <c r="E19" s="133">
        <f>'PL 3'!K76</f>
        <v>65000</v>
      </c>
      <c r="F19" s="133">
        <f>'[4]Thu huyen'!H45</f>
        <v>14800</v>
      </c>
      <c r="G19" s="133">
        <f>'[4]Tong hop Thu'!K71</f>
        <v>0</v>
      </c>
    </row>
    <row r="20" spans="1:7" s="134" customFormat="1" ht="18.75">
      <c r="A20" s="131">
        <v>8</v>
      </c>
      <c r="B20" s="132" t="s">
        <v>140</v>
      </c>
      <c r="C20" s="133">
        <f t="shared" si="0"/>
        <v>72166</v>
      </c>
      <c r="D20" s="133">
        <f>'[4]Thu huyen'!I44</f>
        <v>58166</v>
      </c>
      <c r="E20" s="133">
        <f>'PL 3'!L76</f>
        <v>0</v>
      </c>
      <c r="F20" s="133">
        <f>'[4]Thu huyen'!I45</f>
        <v>11000</v>
      </c>
      <c r="G20" s="133">
        <f>'[4]Tong hop Thu'!L71</f>
        <v>3000</v>
      </c>
    </row>
    <row r="21" spans="1:7" s="134" customFormat="1" ht="18.75">
      <c r="A21" s="131">
        <v>9</v>
      </c>
      <c r="B21" s="132" t="s">
        <v>141</v>
      </c>
      <c r="C21" s="133">
        <f t="shared" si="0"/>
        <v>209506</v>
      </c>
      <c r="D21" s="136">
        <f>'[4]Thu huyen'!J44</f>
        <v>140633</v>
      </c>
      <c r="E21" s="136">
        <f>'PL 3'!M76</f>
        <v>55173</v>
      </c>
      <c r="F21" s="136">
        <f>'[4]Thu huyen'!J45</f>
        <v>10700</v>
      </c>
      <c r="G21" s="136">
        <f>'[4]Tong hop Thu'!M71</f>
        <v>3000</v>
      </c>
    </row>
    <row r="22" spans="1:7" s="134" customFormat="1" ht="18.75">
      <c r="A22" s="137">
        <v>10</v>
      </c>
      <c r="B22" s="138" t="s">
        <v>142</v>
      </c>
      <c r="C22" s="133">
        <f t="shared" si="0"/>
        <v>240095</v>
      </c>
      <c r="D22" s="249">
        <f>'[4]Thu huyen'!K44</f>
        <v>149795</v>
      </c>
      <c r="E22" s="249">
        <f>'PL 3'!N76</f>
        <v>71800</v>
      </c>
      <c r="F22" s="249">
        <f>'[4]Thu huyen'!K45</f>
        <v>15500</v>
      </c>
      <c r="G22" s="249">
        <f>'[4]Tong hop Thu'!N71</f>
        <v>3000</v>
      </c>
    </row>
    <row r="23" spans="1:14" s="134" customFormat="1" ht="18.75">
      <c r="A23" s="139"/>
      <c r="B23" s="140"/>
      <c r="C23" s="141"/>
      <c r="D23" s="141"/>
      <c r="E23" s="141"/>
      <c r="F23" s="141"/>
      <c r="G23" s="141"/>
      <c r="H23" s="121"/>
      <c r="I23" s="121"/>
      <c r="J23" s="121"/>
      <c r="K23" s="121"/>
      <c r="L23" s="121"/>
      <c r="M23" s="121"/>
      <c r="N23" s="121"/>
    </row>
    <row r="24" spans="1:7" ht="18.75">
      <c r="A24" s="142"/>
      <c r="B24" s="143"/>
      <c r="C24" s="144"/>
      <c r="D24" s="144"/>
      <c r="E24" s="144"/>
      <c r="F24" s="144"/>
      <c r="G24" s="144"/>
    </row>
  </sheetData>
  <mergeCells count="12">
    <mergeCell ref="A8:A10"/>
    <mergeCell ref="B8:B10"/>
    <mergeCell ref="E7:G7"/>
    <mergeCell ref="C8:C10"/>
    <mergeCell ref="A1:C1"/>
    <mergeCell ref="D9:D10"/>
    <mergeCell ref="E9:G9"/>
    <mergeCell ref="A3:G3"/>
    <mergeCell ref="A5:G5"/>
    <mergeCell ref="D8:G8"/>
    <mergeCell ref="A6:G6"/>
    <mergeCell ref="A4:G4"/>
  </mergeCells>
  <printOptions horizontalCentered="1"/>
  <pageMargins left="0.4" right="0.5" top="1" bottom="1" header="0.5" footer="0.5"/>
  <pageSetup horizontalDpi="600" verticalDpi="600" orientation="portrait" paperSize="9" scale="9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tai chinh</dc:creator>
  <cp:keywords/>
  <dc:description/>
  <cp:lastModifiedBy>admin</cp:lastModifiedBy>
  <cp:lastPrinted>2012-07-23T08:24:38Z</cp:lastPrinted>
  <dcterms:created xsi:type="dcterms:W3CDTF">2007-06-05T03:08:47Z</dcterms:created>
  <dcterms:modified xsi:type="dcterms:W3CDTF">2012-08-14T07:02:59Z</dcterms:modified>
  <cp:category/>
  <cp:version/>
  <cp:contentType/>
  <cp:contentStatus/>
</cp:coreProperties>
</file>